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q1/fiVJA4ml/T/c/zfUA9L92x3m9DVjbCqyqcMGC6TeQ/IeF14c/X2n94b+VMa26q6Ar8jANdk9PMsu5fubCFQ==" workbookSaltValue="hNUG1NzrU0UcrDzyQnGS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AC19" i="8" l="1"/>
  <c r="S19" i="8"/>
  <c r="C12" i="14"/>
  <c r="K12" i="14" s="1"/>
  <c r="B13" i="2"/>
  <c r="C13" i="7"/>
  <c r="AB13" i="21"/>
  <c r="AL16" i="11"/>
  <c r="C16" i="6"/>
  <c r="BE9" i="13"/>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<sst xmlns="http://schemas.openxmlformats.org/spreadsheetml/2006/main" count="2102" uniqueCount="918">
  <si>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</si>
  <si>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</si>
  <si>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</si>
  <si>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</si>
  <si>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</si>
  <si>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</si>
  <si>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</si>
  <si>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</si>
  <si>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</si>
  <si>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</si>
  <si>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</si>
  <si>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</si>
  <si>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</si>
  <si>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</si>
  <si>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</si>
  <si>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</si>
  <si>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</si>
  <si>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</si>
  <si>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</si>
  <si>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</si>
  <si>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</si>
  <si>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</si>
  <si>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</si>
  <si>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</si>
  <si>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</si>
  <si>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</si>
  <si>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</si>
  <si>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</si>
  <si>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</si>
  <si>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</si>
  <si>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</si>
  <si>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</si>
  <si>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</si>
  <si>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</si>
  <si>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</si>
  <si>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</si>
  <si>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</si>
  <si>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</si>
  <si>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</si>
  <si>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</si>
  <si>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</si>
  <si>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</si>
  <si>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</si>
  <si>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</si>
  <si>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</si>
  <si>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</si>
  <si>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</si>
  <si>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</si>
  <si>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</si>
  <si>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</si>
  <si>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</si>
  <si>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</si>
  <si>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</si>
  <si>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</si>
  <si>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</si>
  <si>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</si>
  <si>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</si>
  <si>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</si>
  <si>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</si>
  <si>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</si>
  <si>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</si>
  <si>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</si>
  <si>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</si>
  <si>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</si>
  <si>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</si>
  <si>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</si>
  <si>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</si>
  <si>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</si>
  <si>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</si>
  <si>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</si>
  <si>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</si>
  <si>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</si>
  <si>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</si>
  <si>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</si>
  <si>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</si>
  <si>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</si>
  <si>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</si>
  <si>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</si>
  <si>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</si>
  <si>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</si>
  <si>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</si>
  <si>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</si>
  <si>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</si>
  <si>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</si>
  <si>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</si>
  <si>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</si>
  <si>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</si>
  <si>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</si>
  <si>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</si>
  <si>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</si>
  <si>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</si>
  <si>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</si>
  <si>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</si>
  <si>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</si>
  <si>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</si>
  <si>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</si>
  <si>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</si>
  <si>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</si>
  <si>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</si>
  <si>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</si>
  <si>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</si>
  <si>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</si>
  <si>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</si>
  <si>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</si>
  <si>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</si>
  <si>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</si>
  <si>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</si>
  <si>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</si>
  <si>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</si>
  <si>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</si>
  <si>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</si>
  <si>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</si>
  <si>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</si>
  <si>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</si>
  <si>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</si>
  <si>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</si>
  <si>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</si>
  <si>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</si>
  <si>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</si>
  <si>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</si>
  <si>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</si>
  <si>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</si>
  <si>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</si>
  <si>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</si>
  <si>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</si>
  <si>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</si>
  <si>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</si>
  <si>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</si>
  <si>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</si>
  <si>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</si>
  <si>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</si>
  <si>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</si>
  <si>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</si>
  <si>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</si>
  <si>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</si>
  <si>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</si>
  <si>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</si>
  <si>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</si>
  <si>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</si>
  <si>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</si>
  <si>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</si>
  <si>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</si>
  <si>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</si>
  <si>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</si>
  <si>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</si>
  <si>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</si>
  <si>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</si>
  <si>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</si>
  <si>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</si>
  <si>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</si>
  <si>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</si>
  <si>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</si>
  <si>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</si>
  <si>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</si>
  <si>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</si>
  <si>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</si>
  <si>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</si>
  <si>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</si>
  <si>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</si>
  <si>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</si>
  <si>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</si>
  <si>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</si>
  <si>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</si>
  <si>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</si>
  <si>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</si>
  <si>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</si>
  <si>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</si>
  <si>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</si>
  <si>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</si>
  <si>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</si>
  <si>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</si>
  <si>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</si>
  <si>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</si>
  <si>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</si>
  <si>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</si>
  <si>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</si>
  <si>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</si>
  <si>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</si>
  <si>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</si>
  <si>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</si>
  <si>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</si>
  <si>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</si>
  <si>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</si>
  <si>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</si>
  <si>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</si>
  <si>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</si>
  <si>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</si>
  <si>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</si>
  <si>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</si>
  <si>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</si>
  <si>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</si>
  <si>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</si>
  <si>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</si>
  <si>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</si>
  <si>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</si>
  <si>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</si>
  <si>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</si>
  <si>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</si>
  <si>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</si>
  <si>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</si>
  <si>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</si>
  <si>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</si>
  <si>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</si>
  <si>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</si>
  <si>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</si>
  <si>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</si>
  <si>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</si>
  <si>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</si>
  <si>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</si>
  <si>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</si>
  <si>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</si>
  <si>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</si>
  <si>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</si>
  <si>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</si>
  <si>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</si>
  <si>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</si>
  <si>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</si>
  <si>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</si>
  <si>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</si>
  <si>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</si>
  <si>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</si>
  <si>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</si>
  <si>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</si>
  <si>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</si>
  <si>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</si>
  <si>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</si>
  <si>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</si>
  <si>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</si>
  <si>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</si>
  <si>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</si>
  <si>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</si>
  <si>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</si>
  <si>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</si>
  <si>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</si>
  <si>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</si>
  <si>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</si>
  <si>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</si>
  <si>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</si>
  <si>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</si>
  <si>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</si>
  <si>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</si>
  <si>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</si>
  <si>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</si>
  <si>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</si>
  <si>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</si>
  <si>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</si>
  <si>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</si>
  <si>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</si>
  <si>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</si>
  <si>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</si>
  <si>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</si>
  <si>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</si>
  <si>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</si>
  <si>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</si>
  <si>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</si>
  <si>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</si>
  <si>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</si>
  <si>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</si>
  <si>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</si>
  <si>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</si>
  <si>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</si>
  <si>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</si>
  <si>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</si>
  <si>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</si>
  <si>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</si>
  <si>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</si>
  <si>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</si>
  <si>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</si>
  <si>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</si>
  <si>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</si>
  <si>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</si>
  <si>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</si>
  <si>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</si>
  <si>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</si>
  <si>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</si>
  <si>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</si>
  <si>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</si>
  <si>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</si>
  <si>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</si>
  <si>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</si>
  <si>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</si>
  <si>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</si>
  <si>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</si>
  <si>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</si>
  <si>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</si>
  <si>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</si>
  <si>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</si>
  <si>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</si>
  <si>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</si>
  <si>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</si>
  <si>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</si>
  <si>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</si>
  <si>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</si>
  <si>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</si>
  <si>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</si>
  <si>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</si>
  <si>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</si>
  <si>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</si>
  <si>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</si>
  <si>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</si>
  <si>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</si>
  <si>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</si>
  <si>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</si>
  <si>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</si>
  <si>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</si>
  <si>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</si>
  <si>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</si>
  <si>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</si>
  <si>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</si>
  <si>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</si>
  <si>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</si>
  <si>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</si>
  <si>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</si>
  <si>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</si>
  <si>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</si>
  <si>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</si>
  <si>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</si>
  <si>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</si>
  <si>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</si>
  <si>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</si>
  <si>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</si>
  <si>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</si>
  <si>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</si>
  <si>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</si>
  <si>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</si>
  <si>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</si>
  <si>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</si>
  <si>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</si>
  <si>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</si>
  <si>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</si>
  <si>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</si>
  <si>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</si>
  <si>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</si>
  <si>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</si>
  <si>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</si>
  <si>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</si>
  <si>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</si>
  <si>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</si>
  <si>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</si>
  <si>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</si>
  <si>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</si>
  <si>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</si>
  <si>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</si>
  <si>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</si>
  <si>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</si>
  <si>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</si>
  <si>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</si>
  <si>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</si>
  <si>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</si>
  <si>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</si>
  <si>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</si>
  <si>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</si>
  <si>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</si>
  <si>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</si>
  <si>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</si>
  <si>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</si>
  <si>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</si>
  <si>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</si>
  <si>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</si>
  <si>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</si>
  <si>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</si>
  <si>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</si>
  <si>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</si>
  <si>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</si>
  <si>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</si>
  <si>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</si>
  <si>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</si>
  <si>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</si>
  <si>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</si>
  <si>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</si>
  <si>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</si>
  <si>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</si>
  <si>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</si>
  <si>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</si>
  <si>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</si>
  <si>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</si>
  <si>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</si>
  <si>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</si>
  <si>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</si>
  <si>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</si>
  <si>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</si>
  <si>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</si>
  <si>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</si>
  <si>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</si>
  <si>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</si>
  <si>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</si>
  <si>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</si>
  <si>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</si>
  <si>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</si>
  <si>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</si>
  <si>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</si>
  <si>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</si>
  <si>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</si>
  <si>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</si>
  <si>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</si>
  <si>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</si>
  <si>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</si>
  <si>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</si>
  <si>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</si>
  <si>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</si>
  <si>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</si>
  <si>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</si>
  <si>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</si>
  <si>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</si>
  <si>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</si>
  <si>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</si>
  <si>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</si>
  <si>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</si>
  <si>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</si>
  <si>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</si>
  <si>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</si>
  <si>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</si>
  <si>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</si>
  <si>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</si>
  <si>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</si>
  <si>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</si>
  <si>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</si>
  <si>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</si>
  <si>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</si>
  <si>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</si>
  <si>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</si>
  <si>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</si>
  <si>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</si>
  <si>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</si>
  <si>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</si>
  <si>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</si>
  <si>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</si>
  <si>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</si>
  <si>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</si>
  <si>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</si>
  <si>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</si>
  <si>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</si>
  <si>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</si>
  <si>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</si>
  <si>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</si>
  <si>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</si>
  <si>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</si>
  <si>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</si>
  <si>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</si>
  <si>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</si>
  <si>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</si>
  <si>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</si>
  <si>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</si>
  <si>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</si>
  <si>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</si>
  <si>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</si>
  <si>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</si>
  <si>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</si>
  <si>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</si>
  <si>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</si>
  <si>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</si>
  <si>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</si>
  <si>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</si>
  <si>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</si>
  <si>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</si>
  <si>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</si>
  <si>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</si>
  <si>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</si>
  <si>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</si>
  <si>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</si>
  <si>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</si>
  <si>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</si>
  <si>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</si>
  <si>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</si>
  <si>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</si>
  <si>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</si>
  <si>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</si>
  <si>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</si>
  <si>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</si>
  <si>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</si>
  <si>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</si>
  <si>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</si>
  <si>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</si>
  <si>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</si>
  <si>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</si>
  <si>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</si>
  <si>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</si>
  <si>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</si>
  <si>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</si>
  <si>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</si>
  <si>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</si>
  <si>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</si>
  <si>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</si>
  <si>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</si>
  <si>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</si>
  <si>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</si>
  <si>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</si>
  <si>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</si>
  <si>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</si>
  <si>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</si>
  <si>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</si>
  <si>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</si>
  <si>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</si>
  <si>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</si>
  <si>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</si>
  <si>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</si>
  <si>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</si>
  <si>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</si>
  <si>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</si>
  <si>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</si>
  <si>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</si>
  <si>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</si>
  <si>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</si>
  <si>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</si>
  <si>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</si>
  <si>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</si>
  <si>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</si>
  <si>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</si>
  <si>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</si>
  <si>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</si>
  <si>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</si>
  <si>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</si>
  <si>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</si>
  <si>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</si>
  <si>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</si>
  <si>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</si>
  <si>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</si>
  <si>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</si>
  <si>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</si>
  <si>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</si>
  <si>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</si>
  <si>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</si>
  <si>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</si>
  <si>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</si>
  <si>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</si>
  <si>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</si>
  <si>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</si>
  <si>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</si>
  <si>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</si>
  <si>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</si>
  <si>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</si>
  <si>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</si>
  <si>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</si>
  <si>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</si>
  <si>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</si>
  <si>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</si>
  <si>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</si>
  <si>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</si>
  <si>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</si>
  <si>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</si>
  <si>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</si>
  <si>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</si>
  <si>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</si>
  <si>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</si>
  <si>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</si>
  <si>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</si>
  <si>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</si>
  <si>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</si>
  <si>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</si>
  <si>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</si>
  <si>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</si>
  <si>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</si>
  <si>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</si>
  <si>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</si>
  <si>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</si>
  <si>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</si>
  <si>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</si>
  <si>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</si>
  <si>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</si>
  <si>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</si>
  <si>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</si>
  <si>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</si>
  <si>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</si>
  <si>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</si>
  <si>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</si>
  <si>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</si>
  <si>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</si>
  <si>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</si>
  <si>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</si>
  <si>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</si>
  <si>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</si>
  <si>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</si>
  <si>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</si>
  <si>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</si>
  <si>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</si>
  <si>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</si>
  <si>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</si>
  <si>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</si>
  <si>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</si>
  <si>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</si>
  <si>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</si>
  <si>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</si>
  <si>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</si>
  <si>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</si>
  <si>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</si>
  <si>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</si>
  <si>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</si>
  <si>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</si>
  <si>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</si>
  <si>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</si>
  <si>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</si>
  <si>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</si>
  <si>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</si>
  <si>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</si>
  <si>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</si>
  <si>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</si>
  <si>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</si>
  <si>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</si>
  <si>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</si>
  <si>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</si>
  <si>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</si>
  <si>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</si>
  <si>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</si>
  <si>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</si>
  <si>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</si>
  <si>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</si>
  <si>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</si>
  <si>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</si>
  <si>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</si>
  <si>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</si>
  <si>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</si>
  <si>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</si>
  <si>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</si>
  <si>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</si>
  <si>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</si>
  <si>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</si>
  <si>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</si>
  <si>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</si>
  <si>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</si>
  <si>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</si>
  <si>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</si>
  <si>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</si>
  <si>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</si>
  <si>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</si>
  <si>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</si>
  <si>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</si>
  <si>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</si>
  <si>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</si>
  <si>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</si>
  <si>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</si>
  <si>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</si>
  <si>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</si>
  <si>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</si>
  <si>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</si>
  <si>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</si>
  <si>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</si>
  <si>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</si>
  <si>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</si>
  <si>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</si>
  <si>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</si>
  <si>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</si>
  <si>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</si>
  <si>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</si>
  <si>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</si>
  <si>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</si>
  <si>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</si>
  <si>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</si>
  <si>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</si>
  <si>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</si>
  <si>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</si>
  <si>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</si>
  <si>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</si>
  <si>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</si>
  <si>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</si>
  <si>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</si>
  <si>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</si>
  <si>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</si>
  <si>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</si>
  <si>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</si>
  <si>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</si>
  <si>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</si>
  <si>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</si>
  <si>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</si>
  <si>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</si>
  <si>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</si>
  <si>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</si>
  <si>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</si>
  <si>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</si>
  <si>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</si>
  <si>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</si>
  <si>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</si>
  <si>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</si>
  <si>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</si>
  <si>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</si>
  <si>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</si>
  <si>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</si>
  <si>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</si>
  <si>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</si>
  <si>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</si>
  <si>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</si>
  <si>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</si>
  <si>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</si>
  <si>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</si>
  <si>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</si>
  <si>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</si>
  <si>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</si>
  <si>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</si>
  <si>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</si>
  <si>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</si>
  <si>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</si>
  <si>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</si>
  <si>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</si>
  <si>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</si>
  <si>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</si>
  <si>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</si>
  <si>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</si>
  <si>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</si>
  <si>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</si>
  <si>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</si>
  <si>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</si>
  <si>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</si>
  <si>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</si>
  <si>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</si>
  <si>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</si>
  <si>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</si>
  <si>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</si>
  <si>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</si>
  <si>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</si>
  <si>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</si>
  <si>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</si>
  <si>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</si>
  <si>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</si>
  <si>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</si>
  <si>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</si>
  <si>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</si>
  <si>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</si>
  <si>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</si>
  <si>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</si>
  <si>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</si>
  <si>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</si>
  <si>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</si>
  <si>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</si>
  <si>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</si>
  <si>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</si>
  <si>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</si>
  <si>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</si>
  <si>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</si>
  <si>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</si>
  <si>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</si>
  <si>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</si>
  <si>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</si>
  <si>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</si>
  <si>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</si>
  <si>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</si>
  <si>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</si>
  <si>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</si>
  <si>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</si>
  <si>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</si>
  <si>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</si>
  <si>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</si>
  <si>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</si>
  <si>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</si>
  <si>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</si>
  <si>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</si>
  <si>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</si>
  <si>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</si>
  <si>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</si>
  <si>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</si>
  <si>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</si>
  <si>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</si>
  <si>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</si>
  <si>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</si>
  <si>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</si>
  <si>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</si>
  <si>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</si>
  <si>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</si>
  <si>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</si>
  <si>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</si>
  <si>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</si>
  <si>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</si>
  <si>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</si>
  <si>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</si>
  <si>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</si>
  <si>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</si>
  <si>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</si>
  <si>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</si>
  <si>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</si>
  <si>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</si>
  <si>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</si>
  <si>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</si>
  <si>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</si>
  <si>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</si>
  <si>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</si>
  <si>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</si>
  <si>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</si>
  <si>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</si>
  <si>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</si>
  <si>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</si>
  <si>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</si>
  <si>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</si>
  <si>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</si>
  <si>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</si>
  <si>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</si>
  <si>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</si>
  <si>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</si>
  <si>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</si>
  <si>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</si>
  <si>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</si>
  <si>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</si>
  <si>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</si>
  <si>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</si>
  <si>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</si>
  <si>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</si>
  <si>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</si>
  <si>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</si>
  <si>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</si>
  <si>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</si>
  <si>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</si>
  <si>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</si>
  <si>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</si>
  <si>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</si>
  <si>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</si>
  <si>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</si>
  <si>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</si>
  <si>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</si>
  <si>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</si>
  <si>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</si>
  <si>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</si>
  <si>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</si>
  <si>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</si>
  <si>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</si>
  <si>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</si>
  <si>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</si>
  <si>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</si>
  <si>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</si>
  <si>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</si>
  <si>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</si>
  <si>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</si>
  <si>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</si>
  <si>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</si>
  <si>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</si>
  <si>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</si>
  <si>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</si>
  <si>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</si>
  <si>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</si>
  <si>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</si>
  <si>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</si>
  <si>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</si>
  <si>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</si>
  <si>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</si>
  <si>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</si>
  <si>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</si>
  <si>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</si>
  <si>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</si>
  <si>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</si>
  <si>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</si>
  <si>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</si>
  <si>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</si>
  <si>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</si>
  <si>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</si>
  <si>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</si>
  <si>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</si>
  <si>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</si>
  <si>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</si>
  <si>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</si>
  <si>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</si>
  <si>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</si>
  <si>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</si>
  <si>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</si>
  <si>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</si>
  <si>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</si>
  <si>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</si>
  <si>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</si>
  <si>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</si>
  <si>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</si>
  <si>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</si>
  <si>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</si>
  <si>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</si>
  <si>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</si>
  <si>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</si>
  <si>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</si>
  <si>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</si>
  <si>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</si>
  <si>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</si>
  <si>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</si>
  <si>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</si>
  <si>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</si>
  <si>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</si>
  <si>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</si>
  <si>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</si>
  <si>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</si>
  <si>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</si>
  <si>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</si>
  <si>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</si>
  <si>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</si>
  <si>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</si>
  <si>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</si>
  <si>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</si>
  <si>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</si>
  <si>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</si>
  <si>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</si>
  <si>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</si>
  <si>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</si>
  <si>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</si>
  <si>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</si>
  <si>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</si>
  <si>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</si>
  <si>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</si>
  <si>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</si>
  <si>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</si>
  <si>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</si>
  <si>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</si>
  <si>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</si>
  <si>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</si>
  <si>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</si>
  <si>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</si>
  <si>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</si>
  <si>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</si>
  <si>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</si>
  <si>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</si>
  <si>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</si>
  <si>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</si>
  <si>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</si>
  <si>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</si>
  <si>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</si>
  <si>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</si>
  <si>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</si>
  <si>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</si>
  <si>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</si>
  <si>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</si>
  <si>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</si>
  <si>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</si>
  <si>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</si>
  <si>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</si>
  <si>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</si>
  <si>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GRANADA</t>
  </si>
  <si>
    <t>Resumenes por Partidos Judiciales</t>
  </si>
  <si>
    <t>GUADIX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</si>
</sst>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onsL2ggawLU0z8cAH7j6Ex9SdT3lFfkbbP67MfNVlhRSbJZKsAPxO7DZyTFVS5g6MynbVzqK2s511XkUTzh1Q==" saltValue="xdfNbghGL/fCCJadmTyT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GUADIX</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14</v>
      </c>
      <c r="F10" s="404">
        <f>IF(ISNUMBER(E10/B10),E10/B10," - ")</f>
        <v>14</v>
      </c>
      <c r="G10" s="403">
        <f>IF(ISNUMBER(Datos!K10),Datos!K10," - ")</f>
        <v>4</v>
      </c>
      <c r="H10" s="404">
        <f>IF(ISNUMBER(G10/B10),G10/B10," - ")</f>
        <v>4</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1286</v>
      </c>
      <c r="D12" s="404">
        <f>IF(ISNUMBER(C12/Datos!BH12),C12/Datos!BH12," - ")</f>
        <v>643</v>
      </c>
      <c r="E12" s="403">
        <f>IF(ISNUMBER(IF(J_V="SI",Datos!J12,Datos!J12+Datos!Z12)),IF(J_V="SI",Datos!J12,Datos!J12+Datos!Z12)," - ")</f>
        <v>424</v>
      </c>
      <c r="F12" s="404">
        <f>IF(ISNUMBER(E12/B12),E12/B12," - ")</f>
        <v>212</v>
      </c>
      <c r="G12" s="403">
        <f>IF(ISNUMBER(IF(J_V="SI",Datos!K12,Datos!K12+Datos!AA12)),IF(J_V="SI",Datos!K12,Datos!K12+Datos!AA12)," - ")</f>
        <v>277</v>
      </c>
      <c r="H12" s="404">
        <f>IF(ISNUMBER(G12/B12),G12/B12," - ")</f>
        <v>138.5</v>
      </c>
      <c r="I12" s="403">
        <f>IF(ISNUMBER(IF(J_V="SI",Datos!L12,Datos!L12+Datos!AB12)),IF(J_V="SI",Datos!L12,Datos!L12+Datos!AB12)," - ")</f>
        <v>1433</v>
      </c>
      <c r="J12" s="404">
        <f>IF(ISNUMBER(I12/B12),I12/B12," - ")</f>
        <v>716.5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1306</v>
      </c>
      <c r="D13" s="850" t="str">
        <f>IF(ISNUMBER(C13/Datos!BI13),C13/Datos!BI13," - ")</f>
        <v xml:space="preserve"> - </v>
      </c>
      <c r="E13" s="849">
        <f>SUBTOTAL(9,E8:E12)</f>
        <v>438</v>
      </c>
      <c r="F13" s="850">
        <f>IF(ISNUMBER(E13/B13),E13/B13," - ")</f>
        <v>219</v>
      </c>
      <c r="G13" s="849">
        <f>SUBTOTAL(9,G8:G12)</f>
        <v>281</v>
      </c>
      <c r="H13" s="850">
        <f>IF(ISNUMBER(G13/B13),G13/B13," - ")</f>
        <v>140.5</v>
      </c>
      <c r="I13" s="849">
        <f>SUBTOTAL(9,I8:I12)</f>
        <v>1463</v>
      </c>
      <c r="J13" s="850">
        <f>IF(ISNUMBER(I13/B13),I13/B13," - ")</f>
        <v>731.5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776</v>
      </c>
      <c r="D16" s="404">
        <f>IF(ISNUMBER(C16/Datos!BH16),C16/Datos!BH16," - ")</f>
        <v>388</v>
      </c>
      <c r="E16" s="403">
        <f>IF(ISNUMBER(IF(D_I="SI",Datos!J16,Datos!J16+Datos!AD16)),IF(D_I="SI",Datos!J16,Datos!J16+Datos!AD16)," - ")</f>
        <v>283</v>
      </c>
      <c r="F16" s="404">
        <f>IF(ISNUMBER(E16/B16),E16/B16," - ")</f>
        <v>141.5</v>
      </c>
      <c r="G16" s="403">
        <f>IF(ISNUMBER(IF(D_I="SI",Datos!K16,Datos!K16+Datos!AE16)),IF(D_I="SI",Datos!K16,Datos!K16+Datos!AE16)," - ")</f>
        <v>253</v>
      </c>
      <c r="H16" s="404">
        <f>IF(ISNUMBER(G16/B16),G16/B16," - ")</f>
        <v>126.5</v>
      </c>
      <c r="I16" s="403">
        <f>IF(ISNUMBER(IF(D_I="SI",Datos!L16,Datos!L16+Datos!AF16)),IF(D_I="SI",Datos!L16,Datos!L16+Datos!AF16)," - ")</f>
        <v>806</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55</v>
      </c>
      <c r="F17" s="404">
        <f>IF(ISNUMBER(E17/B17),E17/B17," - ")</f>
        <v>55</v>
      </c>
      <c r="G17" s="403">
        <f>IF(ISNUMBER(IF(D_I="SI",Datos!K17,Datos!K17+Datos!AE17)),IF(D_I="SI",Datos!K17,Datos!K17+Datos!AE17)," - ")</f>
        <v>51</v>
      </c>
      <c r="H17" s="404">
        <f>IF(ISNUMBER(G17/B17),G17/B17," - ")</f>
        <v>51</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870</v>
      </c>
      <c r="D18" s="850" t="str">
        <f>IF(ISNUMBER(C18/Datos!BI18),C18/Datos!BI18," - ")</f>
        <v xml:space="preserve"> - </v>
      </c>
      <c r="E18" s="849">
        <f>SUBTOTAL(9,E14:E17)</f>
        <v>338</v>
      </c>
      <c r="F18" s="850">
        <f>IF(ISNUMBER(E18/B18),E18/B18," - ")</f>
        <v>169</v>
      </c>
      <c r="G18" s="849">
        <f>SUBTOTAL(9,G14:G17)</f>
        <v>304</v>
      </c>
      <c r="H18" s="850">
        <f>IF(ISNUMBER(G18/B18),G18/B18," - ")</f>
        <v>152</v>
      </c>
      <c r="I18" s="849">
        <f>SUBTOTAL(9,I14:I17)</f>
        <v>904</v>
      </c>
      <c r="J18" s="850">
        <f>IF(ISNUMBER(I18/B18),I18/B18," - ")</f>
        <v>452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2176</v>
      </c>
      <c r="D19" s="795" t="str">
        <f>IF(ISNUMBER(C19/Datos!BI19),C19/Datos!BI19," - ")</f>
        <v xml:space="preserve"> - </v>
      </c>
      <c r="E19" s="794">
        <f>SUBTOTAL(9,E9:E18)</f>
        <v>776</v>
      </c>
      <c r="F19" s="795">
        <f>IF(ISNUMBER(E19/B19),E19/B19," - ")</f>
        <v>388</v>
      </c>
      <c r="G19" s="794">
        <f>SUBTOTAL(9,G9:G18)</f>
        <v>585</v>
      </c>
      <c r="H19" s="795">
        <f>IF(ISNUMBER(G19/B19),G19/B19," - ")</f>
        <v>292.5</v>
      </c>
      <c r="I19" s="794">
        <f>SUBTOTAL(9,I9:I18)</f>
        <v>2367</v>
      </c>
      <c r="J19" s="795">
        <f>IF(ISNUMBER(I19/B19),I19/B19," - ")</f>
        <v>1183.5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7B0iAW4Go7skCAR3r0YTgzDvgx28vTRtoScuPXAsJk7AJ0h1gAHJRfryOab1fK+TeNKOyqlv4PcdeC4s+M+9+g==" saltValue="0dY6XakZ/yLO0uUowtNN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GUADIX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4BokSeV0anmooazi2X6rup3d5kUlYDstoq/pGtfnsX9oY1VSdOVtN0AGYdn6HsYpEZToLn8DoJdlEVMNRHLRMw==" saltValue="ng85XyWE4/mCb1WHxrob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GUADIX</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67</v>
      </c>
      <c r="E12" s="404">
        <f t="shared" si="0"/>
        <v>33.5</v>
      </c>
      <c r="F12" s="403">
        <f>IF(ISNUMBER(Datos!N12),Datos!N12," - ")</f>
        <v>121</v>
      </c>
      <c r="G12" s="404">
        <f t="shared" si="1"/>
        <v>60.5</v>
      </c>
      <c r="H12" s="403">
        <f>IF(ISNUMBER(Datos!O12),Datos!O12," - ")</f>
        <v>110</v>
      </c>
      <c r="I12" s="404">
        <f t="shared" si="2"/>
        <v>55</v>
      </c>
      <c r="BZ12" s="1186">
        <f>Datos!EZ12</f>
        <v>0</v>
      </c>
    </row>
    <row r="13" spans="1:78" ht="14.25" thickTop="1" thickBot="1">
      <c r="A13" s="848" t="str">
        <f>Datos!A13</f>
        <v>TOTAL</v>
      </c>
      <c r="B13" s="849">
        <f>Datos!AP13</f>
        <v>2</v>
      </c>
      <c r="C13" s="851">
        <f>Datos!AR13</f>
        <v>2</v>
      </c>
      <c r="D13" s="849">
        <f>SUBTOTAL(9,D9:D12)</f>
        <v>69</v>
      </c>
      <c r="E13" s="850">
        <f t="shared" si="0"/>
        <v>34.5</v>
      </c>
      <c r="F13" s="849">
        <f>SUBTOTAL(9,F9:F12)</f>
        <v>122</v>
      </c>
      <c r="G13" s="850">
        <f t="shared" si="1"/>
        <v>61</v>
      </c>
      <c r="H13" s="849">
        <f>SUBTOTAL(9,H9:H12)</f>
        <v>111</v>
      </c>
      <c r="I13" s="850">
        <f>IF(ISNUMBER(H13/B13),H13/B13," - ")</f>
        <v>55.5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53</v>
      </c>
      <c r="E16" s="404">
        <f t="shared" si="3"/>
        <v>26.5</v>
      </c>
      <c r="F16" s="403">
        <f>IF(ISNUMBER(Datos!N16),Datos!N16," - ")</f>
        <v>138</v>
      </c>
      <c r="G16" s="404">
        <f t="shared" si="4"/>
        <v>69</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146</v>
      </c>
      <c r="G18" s="850">
        <f t="shared" si="4"/>
        <v>73</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131</v>
      </c>
      <c r="E19" s="795">
        <f>IF(ISNUMBER(D19/B19),D19/B19," - ")</f>
        <v>65.5</v>
      </c>
      <c r="F19" s="794">
        <f>SUBTOTAL(9,F8:F18)</f>
        <v>268</v>
      </c>
      <c r="G19" s="795">
        <f>IF(ISNUMBER(F19/B19),F19/B19," - ")</f>
        <v>134</v>
      </c>
      <c r="H19" s="794">
        <f>SUBTOTAL(9,H8:H18)</f>
        <v>119</v>
      </c>
      <c r="I19" s="795">
        <f>IF(ISNUMBER(H19/B19),H19/B19," - ")</f>
        <v>59.5</v>
      </c>
    </row>
    <row r="22" spans="1:78">
      <c r="A22" s="391" t="str">
        <f>Criterios!A4</f>
        <v>Fecha Informe: 29 nov. 2024</v>
      </c>
    </row>
    <row r="27" spans="1:78">
      <c r="A27" s="414"/>
    </row>
  </sheetData>
  <sheetProtection algorithmName="SHA-512" hashValue="QYybDBO5Ktq13+X/hHG2Y60vzkHezoHhMe5j66RDhA9BjGpCVKSgjIvPWNorkER5DY6LV69u7cikqrqv8frn+g==" saltValue="dIb0GI1RqgfhsYWSVmoo5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GUADIX</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82</v>
      </c>
      <c r="C12" s="434">
        <f>IF(ISNUMBER(Datos!Q12),Datos!Q12," - ")</f>
        <v>30</v>
      </c>
      <c r="D12" s="408">
        <f>IF(ISNUMBER(Datos!R12),Datos!R12," - ")</f>
        <v>1521</v>
      </c>
    </row>
    <row r="13" spans="1:4" ht="14.25" thickTop="1" thickBot="1">
      <c r="A13" s="848" t="str">
        <f>Datos!A13</f>
        <v>TOTAL</v>
      </c>
      <c r="B13" s="849">
        <f>SUBTOTAL(9,B9:B12)</f>
        <v>82</v>
      </c>
      <c r="C13" s="853">
        <f>SUBTOTAL(9,C9:C12)</f>
        <v>30</v>
      </c>
      <c r="D13" s="851">
        <f>SUBTOTAL(9,D9:D12)</f>
        <v>1524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8</v>
      </c>
      <c r="D16" s="408">
        <f>IF(ISNUMBER(Datos!R16),Datos!R16," - ")</f>
        <v>111</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30</v>
      </c>
      <c r="C18" s="853">
        <f>SUBTOTAL(9,C15:C17)</f>
        <v>8</v>
      </c>
      <c r="D18" s="851">
        <f>SUBTOTAL(9,D15:D17)</f>
        <v>115</v>
      </c>
    </row>
    <row r="19" spans="1:4" ht="16.5" customHeight="1" thickTop="1" thickBot="1">
      <c r="A19" s="793" t="str">
        <f>Datos!A19</f>
        <v>TOTAL JURISDICCIONES</v>
      </c>
      <c r="B19" s="798">
        <f>SUBTOTAL(9,B8:B18)</f>
        <v>112</v>
      </c>
      <c r="C19" s="799">
        <f>SUBTOTAL(9,C8:C18)</f>
        <v>38</v>
      </c>
      <c r="D19" s="800">
        <f>SUBTOTAL(9,D8:D18)</f>
        <v>1639</v>
      </c>
    </row>
    <row r="20" spans="1:4" ht="7.5" customHeight="1"/>
    <row r="21" spans="1:4" ht="6" customHeight="1"/>
    <row r="22" spans="1:4">
      <c r="A22" s="391" t="str">
        <f>Criterios!A4</f>
        <v>Fecha Informe: 29 nov. 2024</v>
      </c>
    </row>
    <row r="27" spans="1:4">
      <c r="A27" s="414"/>
    </row>
  </sheetData>
  <sheetProtection algorithmName="SHA-512" hashValue="gJnRQsiNkW41fw28WxqmltSzdKqo6X4OgTWL5GoTPrH91KIcKcJXx0yXhFdErRpIcAJ2fE0ma2FmrJp2+IQW3Q==" saltValue="eoKEhqtE7712YWGljDe/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GUADIX</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f>IF(ISNUMBER((Datos!J10-Datos!T10)/Datos!T10),(Datos!J10-Datos!T10)/Datos!T10," - ")</f>
        <v>2.5</v>
      </c>
      <c r="D10" s="456">
        <f>IF(ISNUMBER((Datos!K10-Datos!U10)/Datos!U10),(Datos!K10-Datos!U10)/Datos!U10," - ")</f>
        <v>0.33333333333333331</v>
      </c>
      <c r="E10" s="456">
        <f>IF(ISNUMBER((Datos!L10-Datos!V10)/Datos!V10),(Datos!L10-Datos!V10)/Datos!V10," - ")</f>
        <v>0.57894736842105265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-0.61904761904761907</v>
      </c>
      <c r="I10" s="456">
        <f>IF(ISNUMBER(((NºAsuntos!I10/NºAsuntos!G10)-Datos!BE10)/Datos!BE10),((NºAsuntos!I10/NºAsuntos!G10)-Datos!BE10)/Datos!BE10," - ")</f>
        <v>0.18421052631578952</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0.15909090909090914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0.25341130604288498</v>
      </c>
      <c r="C12" s="456">
        <f>IF(ISNUMBER(
   IF(J_V="SI",(Datos!J12-Datos!T12)/Datos!T12,(Datos!J12+Datos!Z12-(Datos!T12+Datos!AH12))/(Datos!T12+Datos!AH12))
     ),IF(J_V="SI",(Datos!J12-Datos!T12)/Datos!T12,(Datos!J12+Datos!Z12-(Datos!T12+Datos!AH12))/(Datos!T12+Datos!AH12))," - ")</f>
        <v>-1.3953488372093023E-2</v>
      </c>
      <c r="D12" s="456">
        <f>IF(ISNUMBER(
   IF(J_V="SI",(Datos!K12-Datos!U12)/Datos!U12,(Datos!K12+Datos!AA12-(Datos!U12+Datos!AI12))/(Datos!U12+Datos!AI12))
     ),IF(J_V="SI",(Datos!K12-Datos!U12)/Datos!U12,(Datos!K12+Datos!AA12-(Datos!U12+Datos!AI12))/(Datos!U12+Datos!AI12))," - ")</f>
        <v>-0.12341772151898735</v>
      </c>
      <c r="E12" s="456">
        <f>IF(ISNUMBER(
   IF(J_V="SI",(Datos!L12-Datos!V12)/Datos!V12,(Datos!L12+Datos!AB12-(Datos!V12+Datos!AJ12))/(Datos!V12+Datos!AJ12))
     ),IF(J_V="SI",(Datos!L12-Datos!V12)/Datos!V12,(Datos!L12+Datos!AB12-(Datos!V12+Datos!AJ12))/(Datos!V12+Datos!AJ12))," - ")</f>
        <v>0.25701754385964914</v>
      </c>
      <c r="F12" s="456">
        <f>IF(ISNUMBER((Datos!M12-Datos!W12)/Datos!W12),(Datos!M12-Datos!W12)/Datos!W12," - ")</f>
        <v>-0.10666666666666667</v>
      </c>
      <c r="G12" s="457">
        <f>IF(ISNUMBER((Datos!N12-Datos!X12)/Datos!X12),(Datos!N12-Datos!X12)/Datos!X12," - ")</f>
        <v>0.15238095238095239</v>
      </c>
      <c r="H12" s="455">
        <f>IF(ISNUMBER(((NºAsuntos!G12/NºAsuntos!E12)-Datos!BD12)/Datos!BD12),((NºAsuntos!G12/NºAsuntos!E12)-Datos!BD12)/Datos!BD12," - ")</f>
        <v>-0.11101325531406737</v>
      </c>
      <c r="I12" s="456">
        <f>IF(ISNUMBER(((NºAsuntos!I12/NºAsuntos!G12)-Datos!BE12)/Datos!BE12),((NºAsuntos!I12/NºAsuntos!G12)-Datos!BE12)/Datos!BE12," - ")</f>
        <v>0.43399835328393177</v>
      </c>
      <c r="J12" s="461">
        <f>IF(ISNUMBER((('Resol  Asuntos'!D12/NºAsuntos!G12)-Datos!BF12)/Datos!BF12),(('Resol  Asuntos'!D12/NºAsuntos!G12)-Datos!BF12)/Datos!BF12," - ")</f>
        <v>-0.27206463812962006</v>
      </c>
      <c r="K12" s="462">
        <f>IF(ISNUMBER((((NºAsuntos!C12+NºAsuntos!E12)/NºAsuntos!G12)-Datos!BG12)/Datos!BG12),(((NºAsuntos!C12+NºAsuntos!E12)/NºAsuntos!G12)-Datos!BG12)/Datos!BG12," - ")</f>
        <v>0.33980640298329834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0.25095785440613028</v>
      </c>
      <c r="C13" s="855">
        <f>IF(ISNUMBER(
   IF(J_V="SI",(Datos!J13-Datos!T13)/Datos!T13,(Datos!J13+Datos!Z13-(Datos!T13+Datos!AH13))/(Datos!T13+Datos!AH13))
     ),IF(J_V="SI",(Datos!J13-Datos!T13)/Datos!T13,(Datos!J13+Datos!Z13-(Datos!T13+Datos!AH13))/(Datos!T13+Datos!AH13))," - ")</f>
        <v>9.2165898617511521E-3</v>
      </c>
      <c r="D13" s="855">
        <f>IF(ISNUMBER(
   IF(J_V="SI",(Datos!K13-Datos!U13)/Datos!U13,(Datos!K13+Datos!AA13-(Datos!U13+Datos!AI13))/(Datos!U13+Datos!AI13))
     ),IF(J_V="SI",(Datos!K13-Datos!U13)/Datos!U13,(Datos!K13+Datos!AA13-(Datos!U13+Datos!AI13))/(Datos!U13+Datos!AI13))," - ")</f>
        <v>-0.11912225705329153</v>
      </c>
      <c r="E13" s="855">
        <f>IF(ISNUMBER(
   IF(J_V="SI",(Datos!L13-Datos!V13)/Datos!V13,(Datos!L13+Datos!AB13-(Datos!V13+Datos!AJ13))/(Datos!V13+Datos!AJ13))
     ),IF(J_V="SI",(Datos!L13-Datos!V13)/Datos!V13,(Datos!L13+Datos!AB13-(Datos!V13+Datos!AJ13))/(Datos!V13+Datos!AJ13))," - ")</f>
        <v>0.26229508196721313</v>
      </c>
      <c r="F13" s="856">
        <f>IF(ISNUMBER((Datos!M13-Datos!W13)/Datos!W13),(Datos!M13-Datos!W13)/Datos!W13," - ")</f>
        <v>-0.1038961038961039</v>
      </c>
      <c r="G13" s="857">
        <f>IF(ISNUMBER((Datos!N13-Datos!X13)/Datos!X13),(Datos!N13-Datos!X13)/Datos!X13," - ")</f>
        <v>0.16190476190476191</v>
      </c>
      <c r="H13" s="857">
        <f>IF(ISNUMBER(((NºAsuntos!G13/NºAsuntos!E13)-Datos!BD13)/Datos!BD13),((NºAsuntos!G13/NºAsuntos!E13)-Datos!BD13)/Datos!BD13," - ")</f>
        <v>-0.12716680265097829</v>
      </c>
      <c r="I13" s="857">
        <f>IF(ISNUMBER(((NºAsuntos!I13/NºAsuntos!G13)-Datos!BE13)/Datos!BE13),((NºAsuntos!I13/NºAsuntos!G13)-Datos!BE13)/Datos!BE13," - ")</f>
        <v>0.43299690799836638</v>
      </c>
      <c r="J13" s="857">
        <f>IF(ISNUMBER((('Resol  Asuntos'!D13/NºAsuntos!G13)-Datos!BF13)/Datos!BF13),(('Resol  Asuntos'!D13/NºAsuntos!G13)-Datos!BF13)/Datos!BF13," - ")</f>
        <v>-0.26793494528885486</v>
      </c>
      <c r="K13" s="857">
        <f>IF(ISNUMBER((((NºAsuntos!C13+NºAsuntos!E13)/NºAsuntos!G13)-Datos!BG13)/Datos!BG13),(((NºAsuntos!C13+NºAsuntos!E13)/NºAsuntos!G13)-Datos!BG13)/Datos!BG13," - ")</f>
        <v>0.33954223029100572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-0.23092170465807729</v>
      </c>
      <c r="C16" s="456">
        <f>IF(ISNUMBER(
   IF(D_I="SI",(Datos!J16-Datos!T16)/Datos!T16,(Datos!J16+Datos!AD16-(Datos!T16+Datos!AL16))/(Datos!T16+Datos!AL16))
     ),IF(D_I="SI",(Datos!J16-Datos!T16)/Datos!T16,(Datos!J16+Datos!AD16-(Datos!T16+Datos!AL16))/(Datos!T16+Datos!AL16))," - ")</f>
        <v>1.0714285714285714E-2</v>
      </c>
      <c r="D16" s="456">
        <f>IF(ISNUMBER(
   IF(D_I="SI",(Datos!K16-Datos!U16)/Datos!U16,(Datos!K16+Datos!AE16-(Datos!U16+Datos!AM16))/(Datos!U16+Datos!AM16))
     ),IF(D_I="SI",(Datos!K16-Datos!U16)/Datos!U16,(Datos!K16+Datos!AE16-(Datos!U16+Datos!AM16))/(Datos!U16+Datos!AM16))," - ")</f>
        <v>-0.21183800623052959</v>
      </c>
      <c r="E16" s="456">
        <f>IF(ISNUMBER(
   IF(D_I="SI",(Datos!L16-Datos!V16)/Datos!V16,(Datos!L16+Datos!AF16-(Datos!V16+Datos!AN16))/(Datos!V16+Datos!AN16))
     ),IF(D_I="SI",(Datos!L16-Datos!V16)/Datos!V16,(Datos!L16+Datos!AF16-(Datos!V16+Datos!AN16))/(Datos!V16+Datos!AN16))," - ")</f>
        <v>-0.16735537190082644</v>
      </c>
      <c r="F16" s="456">
        <f>IF(ISNUMBER((Datos!M16-Datos!W16)/Datos!W16),(Datos!M16-Datos!W16)/Datos!W16," - ")</f>
        <v>-0.13114754098360656</v>
      </c>
      <c r="G16" s="457">
        <f>IF(ISNUMBER((Datos!N16-Datos!X16)/Datos!X16),(Datos!N16-Datos!X16)/Datos!X16," - ")</f>
        <v>-0.24590163934426229</v>
      </c>
      <c r="H16" s="455">
        <f>IF(ISNUMBER(((NºAsuntos!G16/NºAsuntos!E16)-Datos!BD16)/Datos!BD16),((NºAsuntos!G16/NºAsuntos!E16)-Datos!BD16)/Datos!BD16," - ")</f>
        <v>-0.2201930803694285</v>
      </c>
      <c r="I16" s="456">
        <f>IF(ISNUMBER(((NºAsuntos!I16/NºAsuntos!G16)-Datos!BE16)/Datos!BE16),((NºAsuntos!I16/NºAsuntos!G16)-Datos!BE16)/Datos!BE16," - ")</f>
        <v>5.6438441185117413E-2</v>
      </c>
      <c r="J16" s="461">
        <f>IF(ISNUMBER((('Resol  Asuntos'!D16/NºAsuntos!G16)-Datos!BF16)/Datos!BF16),(('Resol  Asuntos'!D16/NºAsuntos!G16)-Datos!BF16)/Datos!BF16," - ")</f>
        <v>0.10237802112356649</v>
      </c>
      <c r="K16" s="462">
        <f>IF(ISNUMBER((((NºAsuntos!C16+NºAsuntos!E16)/NºAsuntos!G16)-Datos!BG16)/Datos!BG16),(((NºAsuntos!C16+NºAsuntos!E16)/NºAsuntos!G16)-Datos!BG16)/Datos!BG16," - ")</f>
        <v>4.2383561727846117E-2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-2.0833333333333332E-2</v>
      </c>
      <c r="C17" s="456">
        <f>IF(ISNUMBER(
   IF(D_I="SI",(Datos!J17-Datos!T17)/Datos!T17,(Datos!J17+Datos!AD17-(Datos!T17+Datos!AL17))/(Datos!T17+Datos!AL17))
     ),IF(D_I="SI",(Datos!J17-Datos!T17)/Datos!T17,(Datos!J17+Datos!AD17-(Datos!T17+Datos!AL17))/(Datos!T17+Datos!AL17))," - ")</f>
        <v>-9.8360655737704916E-2</v>
      </c>
      <c r="D17" s="456">
        <f>IF(ISNUMBER(
   IF(D_I="SI",(Datos!K17-Datos!U17)/Datos!U17,(Datos!K17+Datos!AE17-(Datos!U17+Datos!AM17))/(Datos!U17+Datos!AM17))
     ),IF(D_I="SI",(Datos!K17-Datos!U17)/Datos!U17,(Datos!K17+Datos!AE17-(Datos!U17+Datos!AM17))/(Datos!U17+Datos!AM17))," - ")</f>
        <v>-0.15</v>
      </c>
      <c r="E17" s="456">
        <f>IF(ISNUMBER(
   IF(D_I="SI",(Datos!L17-Datos!V17)/Datos!V17,(Datos!L17+Datos!AF17-(Datos!V17+Datos!AN17))/(Datos!V17+Datos!AN17))
     ),IF(D_I="SI",(Datos!L17-Datos!V17)/Datos!V17,(Datos!L17+Datos!AF17-(Datos!V17+Datos!AN17))/(Datos!V17+Datos!AN17))," - ")</f>
        <v>1.0309278350515464E-2</v>
      </c>
      <c r="F17" s="456">
        <f>IF(ISNUMBER((Datos!M17-Datos!W17)/Datos!W17),(Datos!M17-Datos!W17)/Datos!W17," - ")</f>
        <v>-0.18181818181818182</v>
      </c>
      <c r="G17" s="457">
        <f>IF(ISNUMBER((Datos!N17-Datos!X17)/Datos!X17),(Datos!N17-Datos!X17)/Datos!X17," - ")</f>
        <v>-0.68</v>
      </c>
      <c r="H17" s="455">
        <f>IF(ISNUMBER(((NºAsuntos!G17/NºAsuntos!E17)-Datos!BD17)/Datos!BD17),((NºAsuntos!G17/NºAsuntos!E17)-Datos!BD17)/Datos!BD17," - ")</f>
        <v>-5.7272727272727281E-2</v>
      </c>
      <c r="I17" s="456">
        <f>IF(ISNUMBER(((NºAsuntos!I17/NºAsuntos!G17)-Datos!BE17)/Datos!BE17),((NºAsuntos!I17/NºAsuntos!G17)-Datos!BE17)/Datos!BE17," - ")</f>
        <v>0.18859915100060645</v>
      </c>
      <c r="J17" s="461">
        <f>IF(ISNUMBER((('Resol  Asuntos'!D17/NºAsuntos!G17)-Datos!BF17)/Datos!BF17),(('Resol  Asuntos'!D17/NºAsuntos!G17)-Datos!BF17)/Datos!BF17," - ")</f>
        <v>-3.7433155080213776E-2</v>
      </c>
      <c r="K17" s="462">
        <f>IF(ISNUMBER((((NºAsuntos!C17+NºAsuntos!E17)/NºAsuntos!G17)-Datos!BG17)/Datos!BG17),(((NºAsuntos!C17+NºAsuntos!E17)/NºAsuntos!G17)-Datos!BG17)/Datos!BG17," - ")</f>
        <v>0.11652304233795421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-0.21266968325791855</v>
      </c>
      <c r="C18" s="855">
        <f>IF(ISNUMBER(
   IF(Criterios!B14="SI",(Datos!J18-Datos!T18)/Datos!T18,(Datos!J18+Datos!AD18-(Datos!T18+Datos!AL18))/(Datos!T18+Datos!AL18))
     ),IF(Criterios!B14="SI",(Datos!J18-Datos!T18)/Datos!T18,(Datos!J18+Datos!AD18-(Datos!T18+Datos!AL18))/(Datos!T18+Datos!AL18))," - ")</f>
        <v>-8.7976539589442824E-3</v>
      </c>
      <c r="D18" s="855">
        <f>IF(ISNUMBER(
   IF(Criterios!B14="SI",(Datos!K18-Datos!U18)/Datos!U18,(Datos!K18+Datos!AE18-(Datos!U18+Datos!AM18))/(Datos!U18+Datos!AM18))
     ),IF(Criterios!B14="SI",(Datos!K18-Datos!U18)/Datos!U18,(Datos!K18+Datos!AE18-(Datos!U18+Datos!AM18))/(Datos!U18+Datos!AM18))," - ")</f>
        <v>-0.20209973753280841</v>
      </c>
      <c r="E18" s="855">
        <f>IF(ISNUMBER(
   IF(Criterios!B14="SI",(Datos!L18-Datos!V18)/Datos!V18,(Datos!L18+Datos!AF18-(Datos!V18+Datos!AN18))/(Datos!V18+Datos!AN18))
     ),IF(Criterios!B14="SI",(Datos!L18-Datos!V18)/Datos!V18,(Datos!L18+Datos!AF18-(Datos!V18+Datos!AN18))/(Datos!V18+Datos!AN18))," - ")</f>
        <v>-0.1511737089201878</v>
      </c>
      <c r="F18" s="856">
        <f>IF(ISNUMBER((Datos!M18-Datos!W18)/Datos!W18),(Datos!M18-Datos!W18)/Datos!W18," - ")</f>
        <v>-0.1388888888888889</v>
      </c>
      <c r="G18" s="857">
        <f>IF(ISNUMBER((Datos!N18-Datos!X18)/Datos!X18),(Datos!N18-Datos!X18)/Datos!X18," - ")</f>
        <v>-0.29807692307692307</v>
      </c>
      <c r="H18" s="857">
        <f>IF(ISNUMBER(((NºAsuntos!G18/NºAsuntos!E18)-Datos!BD18)/Datos!BD18),((NºAsuntos!G18/NºAsuntos!E18)-Datos!BD18)/Datos!BD18," - ")</f>
        <v>-0.19501778254049593</v>
      </c>
      <c r="I18" s="857">
        <f>IF(ISNUMBER(((NºAsuntos!I18/NºAsuntos!G18)-Datos!BE18)/Datos!BE18),((NºAsuntos!I18/NºAsuntos!G18)-Datos!BE18)/Datos!BE18," - ")</f>
        <v>6.38250555967384E-2</v>
      </c>
      <c r="J18" s="857">
        <f>IF(ISNUMBER((('Resol  Asuntos'!D18/NºAsuntos!G18)-Datos!BF18)/Datos!BF18),(('Resol  Asuntos'!D18/NºAsuntos!G18)-Datos!BF18)/Datos!BF18," - ")</f>
        <v>7.9221491228070165E-2</v>
      </c>
      <c r="K18" s="857">
        <f>IF(ISNUMBER((((NºAsuntos!C18+NºAsuntos!E18)/NºAsuntos!G18)-Datos!BG18)/Datos!BG18),(((NºAsuntos!C18+NºAsuntos!E18)/NºAsuntos!G18)-Datos!BG18)/Datos!BG18," - ")</f>
        <v>4.7008080366892392E-2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1.2563983248022336E-2</v>
      </c>
      <c r="C19" s="802">
        <f>IF(ISNUMBER(
   IF(J_V="SI",(Datos!J19-Datos!T19)/Datos!T19,(Datos!J19+Datos!Z19-(Datos!T19+Datos!AH19))/(Datos!T19+Datos!AH19))
     ),IF(J_V="SI",(Datos!J19-Datos!T19)/Datos!T19,(Datos!J19+Datos!Z19-(Datos!T19+Datos!AH19))/(Datos!T19+Datos!AH19))," - ")</f>
        <v>1.2903225806451613E-3</v>
      </c>
      <c r="D19" s="802">
        <f>IF(ISNUMBER(
   IF(J_V="SI",(Datos!K19-Datos!U19)/Datos!U19,(Datos!K19+Datos!AA19-(Datos!U19+Datos!AI19))/(Datos!U19+Datos!AI19))
     ),IF(J_V="SI",(Datos!K19-Datos!U19)/Datos!U19,(Datos!K19+Datos!AA19-(Datos!U19+Datos!AI19))/(Datos!U19+Datos!AI19))," - ")</f>
        <v>-0.16428571428571428</v>
      </c>
      <c r="E19" s="802">
        <f>IF(ISNUMBER(
   IF(J_V="SI",(Datos!L19-Datos!V19)/Datos!V19,(Datos!L19+Datos!AB19-(Datos!V19+Datos!AJ19))/(Datos!V19+Datos!AJ19))
     ),IF(J_V="SI",(Datos!L19-Datos!V19)/Datos!V19,(Datos!L19+Datos!AB19-(Datos!V19+Datos!AJ19))/(Datos!V19+Datos!AJ19))," - ")</f>
        <v>6.4298561151079139E-2</v>
      </c>
      <c r="F19" s="803">
        <f>IF(ISNUMBER((Datos!M19-Datos!W19)/Datos!W19),(Datos!M19-Datos!W19)/Datos!W19," - ")</f>
        <v>-0.12080536912751678</v>
      </c>
      <c r="G19" s="804">
        <f>IF(ISNUMBER((Datos!N19-Datos!X19)/Datos!X19),(Datos!N19-Datos!X19)/Datos!X19," - ")</f>
        <v>-0.14376996805111822</v>
      </c>
      <c r="H19" s="805">
        <f>IF(ISNUMBER((Tasas!B19-Datos!BD19)/Datos!BD19),(Tasas!B19-Datos!BD19)/Datos!BD19," - ")</f>
        <v>-0.16536266568483063</v>
      </c>
      <c r="I19" s="806">
        <f>IF(ISNUMBER((Tasas!C19-Datos!BE19)/Datos!BE19),(Tasas!C19-Datos!BE19)/Datos!BE19," - ")</f>
        <v>0.2735196458218041</v>
      </c>
      <c r="J19" s="807">
        <f>IF(ISNUMBER((Tasas!D19-Datos!BF19)/Datos!BF19),(Tasas!D19-Datos!BF19)/Datos!BF19," - ")</f>
        <v>-0.12428973881487848</v>
      </c>
      <c r="K19" s="807">
        <f>IF(ISNUMBER((Tasas!E19-Datos!BG19)/Datos!BG19),(Tasas!E19-Datos!BG19)/Datos!BG19," - ")</f>
        <v>0.20803956645269914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sB36OaE8E6Cqpkzlv4zDogIbuMMDdK2/2RtdjHzhSyi7HcsWRfmwXhE5+MPVENTlf35f8LSy7ochABMZ9JUxA==" saltValue="oN421LdXE+3qZhZjn8rH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GUADIX</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0.2857142857142857</v>
      </c>
      <c r="C10" s="443">
        <f>IF(ISNUMBER(NºAsuntos!I10/NºAsuntos!G10),NºAsuntos!I10/NºAsuntos!G10," - ")</f>
        <v>7.5</v>
      </c>
      <c r="D10" s="444">
        <f>IF(ISNUMBER('Resol  Asuntos'!D10/NºAsuntos!G10),'Resol  Asuntos'!D10/NºAsuntos!G10," - ")</f>
        <v>0.5</v>
      </c>
      <c r="E10" s="445">
        <f>IF(ISNUMBER((NºAsuntos!C10+NºAsuntos!E10)/NºAsuntos!G10),(NºAsuntos!C10+NºAsuntos!E10)/NºAsuntos!G10," - ")</f>
        <v>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0.65330188679245282</v>
      </c>
      <c r="C12" s="443">
        <f>IF(ISNUMBER(NºAsuntos!I12/NºAsuntos!G12),NºAsuntos!I12/NºAsuntos!G12," - ")</f>
        <v>5.1732851985559565</v>
      </c>
      <c r="D12" s="444">
        <f>IF(ISNUMBER('Resol  Asuntos'!D12/NºAsuntos!G12),'Resol  Asuntos'!D12/NºAsuntos!G12," - ")</f>
        <v>0.24187725631768953</v>
      </c>
      <c r="E12" s="445">
        <f>IF(ISNUMBER((NºAsuntos!C12+NºAsuntos!E12)/NºAsuntos!G12),(NºAsuntos!C12+NºAsuntos!E12)/NºAsuntos!G12," - ")</f>
        <v>6.1732851985559565</v>
      </c>
      <c r="G12" s="463"/>
    </row>
    <row r="13" spans="1:7" ht="14.25" thickTop="1" thickBot="1">
      <c r="A13" s="848" t="str">
        <f>Datos!A13</f>
        <v>TOTAL</v>
      </c>
      <c r="B13" s="858">
        <f>IF(ISNUMBER(NºAsuntos!G13/NºAsuntos!E13),NºAsuntos!G13/NºAsuntos!E13," - ")</f>
        <v>0.64155251141552516</v>
      </c>
      <c r="C13" s="859">
        <f>IF(ISNUMBER(NºAsuntos!I13/NºAsuntos!G13),NºAsuntos!I13/NºAsuntos!G13," - ")</f>
        <v>5.2064056939501775</v>
      </c>
      <c r="D13" s="860">
        <f>IF(ISNUMBER('Resol  Asuntos'!D13/NºAsuntos!G13),'Resol  Asuntos'!D13/NºAsuntos!G13," - ")</f>
        <v>0.24555160142348753</v>
      </c>
      <c r="E13" s="861">
        <f>IF(ISNUMBER((NºAsuntos!C13+NºAsuntos!E13)/NºAsuntos!G13),(NºAsuntos!C13+NºAsuntos!E13)/NºAsuntos!G13," - ")</f>
        <v>6.2064056939501775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0.89399293286219084</v>
      </c>
      <c r="C16" s="443">
        <f>IF(ISNUMBER(NºAsuntos!I16/NºAsuntos!G16),NºAsuntos!I16/NºAsuntos!G16," - ")</f>
        <v>3.1857707509881421</v>
      </c>
      <c r="D16" s="444">
        <f>IF(ISNUMBER('Resol  Asuntos'!D16/NºAsuntos!G16),'Resol  Asuntos'!D16/NºAsuntos!G16," - ")</f>
        <v>0.20948616600790515</v>
      </c>
      <c r="E16" s="445">
        <f>IF(ISNUMBER((NºAsuntos!C16+NºAsuntos!E16)/NºAsuntos!G16),(NºAsuntos!C16+NºAsuntos!E16)/NºAsuntos!G16," - ")</f>
        <v>4.1857707509881426</v>
      </c>
      <c r="G16" s="463"/>
    </row>
    <row r="17" spans="1:7" ht="13.5" thickBot="1">
      <c r="A17" s="402" t="str">
        <f>Datos!A17</f>
        <v>Jdos. Violencia contra la mujer</v>
      </c>
      <c r="B17" s="442">
        <f>IF(ISNUMBER(NºAsuntos!G17/NºAsuntos!E17),NºAsuntos!G17/NºAsuntos!E17," - ")</f>
        <v>0.92727272727272725</v>
      </c>
      <c r="C17" s="443">
        <f>IF(ISNUMBER(NºAsuntos!I17/NºAsuntos!G17),NºAsuntos!I17/NºAsuntos!G17," - ")</f>
        <v>1.9215686274509804</v>
      </c>
      <c r="D17" s="444">
        <f>IF(ISNUMBER('Resol  Asuntos'!D17/NºAsuntos!G17),'Resol  Asuntos'!D17/NºAsuntos!G17," - ")</f>
        <v>0.17647058823529413</v>
      </c>
      <c r="E17" s="445">
        <f>IF(ISNUMBER((NºAsuntos!C17+NºAsuntos!E17)/NºAsuntos!G17),(NºAsuntos!C17+NºAsuntos!E17)/NºAsuntos!G17," - ")</f>
        <v>2.9215686274509802</v>
      </c>
      <c r="G17" s="463"/>
    </row>
    <row r="18" spans="1:7" ht="14.25" thickTop="1" thickBot="1">
      <c r="A18" s="848" t="str">
        <f>Datos!A18</f>
        <v>TOTAL</v>
      </c>
      <c r="B18" s="858">
        <f>IF(ISNUMBER(NºAsuntos!G18/NºAsuntos!E18),NºAsuntos!G18/NºAsuntos!E18," - ")</f>
        <v>0.89940828402366868</v>
      </c>
      <c r="C18" s="859">
        <f>IF(ISNUMBER(NºAsuntos!I18/NºAsuntos!G18),NºAsuntos!I18/NºAsuntos!G18," - ")</f>
        <v>2.9736842105263159</v>
      </c>
      <c r="D18" s="862">
        <f>IF(ISNUMBER('Resol  Asuntos'!D18/NºAsuntos!G18),'Resol  Asuntos'!D18/NºAsuntos!G18," - ")</f>
        <v>0.20394736842105263</v>
      </c>
      <c r="E18" s="861">
        <f>IF(ISNUMBER((NºAsuntos!C18+NºAsuntos!E18)/NºAsuntos!G18),(NºAsuntos!C18+NºAsuntos!E18)/NºAsuntos!G18," - ")</f>
        <v>3.9736842105263159</v>
      </c>
      <c r="G18" s="463"/>
    </row>
    <row r="19" spans="1:7" ht="15.75" customHeight="1" thickTop="1" thickBot="1">
      <c r="A19" s="793" t="str">
        <f>Datos!A19</f>
        <v>TOTAL JURISDICCIONES</v>
      </c>
      <c r="B19" s="808">
        <f>IF(ISNUMBER(NºAsuntos!G19/NºAsuntos!E19),NºAsuntos!G19/NºAsuntos!E19," - ")</f>
        <v>0.75386597938144329</v>
      </c>
      <c r="C19" s="809">
        <f>IF(ISNUMBER(NºAsuntos!I19/NºAsuntos!G19),NºAsuntos!I19/NºAsuntos!G19," - ")</f>
        <v>4.046153846153846</v>
      </c>
      <c r="D19" s="810">
        <f>IF(ISNUMBER('Resol  Asuntos'!D19/NºAsuntos!G19),'Resol  Asuntos'!D19/NºAsuntos!G19," - ")</f>
        <v>0.22393162393162394</v>
      </c>
      <c r="E19" s="811">
        <f>IF(ISNUMBER((NºAsuntos!C19+NºAsuntos!E19)/NºAsuntos!G19),(NºAsuntos!C19+NºAsuntos!E19)/NºAsuntos!G19," - ")</f>
        <v>5.046153846153846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ReFeIAtlSlkpdfTJnsLKk6IvimcTtIHWCArtZGTxHv6QZ7HekGkfHIiqkzV5xuOXLt2HntS0mabSfvAJk39XA==" saltValue="1IrAtdYB/QHMz+tOeTZq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GUADIX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30</v>
      </c>
      <c r="AB10" s="334">
        <f>IF(ISNUMBER(Datos!R10),Datos!R10," - ")</f>
        <v>3</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0.2857142857142857</v>
      </c>
      <c r="AM10" s="260">
        <f>IF(ISNUMBER(((NºAsuntos!I10/NºAsuntos!G10)*11)/factor_trimestre),((NºAsuntos!I10/NºAsuntos!G10)*11)/factor_trimestre," - ")</f>
        <v>15</v>
      </c>
      <c r="AN10" s="244">
        <f>IF(ISNUMBER('Resol  Asuntos'!D10/NºAsuntos!G10),'Resol  Asuntos'!D10/NºAsuntos!G10," - ")</f>
        <v>0.5</v>
      </c>
      <c r="AO10" s="245">
        <f>IF(ISNUMBER((NºAsuntos!C10+NºAsuntos!E10)/NºAsuntos!G10),(NºAsuntos!C10+NºAsuntos!E10)/NºAsuntos!G10," - ")</f>
        <v>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0.65330188679245282</v>
      </c>
      <c r="AM12" s="260">
        <f>IF(ISNUMBER(((NºAsuntos!I12/NºAsuntos!G12)*11)/factor_trimestre),((NºAsuntos!I12/NºAsuntos!G12)*11)/factor_trimestre," - ")</f>
        <v>10.346570397111913</v>
      </c>
      <c r="AN12" s="244">
        <f>IF(ISNUMBER('Resol  Asuntos'!D12/NºAsuntos!G12),'Resol  Asuntos'!D12/NºAsuntos!G12," - ")</f>
        <v>0.24187725631768953</v>
      </c>
      <c r="AO12" s="245">
        <f>IF(ISNUMBER((NºAsuntos!C12+NºAsuntos!E12)/NºAsuntos!G12),(NºAsuntos!C12+NºAsuntos!E12)/NºAsuntos!G12," - ")</f>
        <v>6.1732851985559565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30</v>
      </c>
      <c r="Y13" s="868">
        <f t="shared" si="4"/>
        <v>34</v>
      </c>
      <c r="Z13" s="868">
        <f t="shared" si="4"/>
        <v>0</v>
      </c>
      <c r="AA13" s="868">
        <f t="shared" si="4"/>
        <v>30</v>
      </c>
      <c r="AB13" s="868">
        <f t="shared" si="4"/>
        <v>1524</v>
      </c>
      <c r="AC13" s="868">
        <f t="shared" si="4"/>
        <v>33</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0.64155251141552516</v>
      </c>
      <c r="AM13" s="874">
        <f>IF(ISNUMBER(((NºAsuntos!I13/NºAsuntos!G13)*11)/factor_trimestre),((NºAsuntos!I13/NºAsuntos!G13)*11)/factor_trimestre," - ")</f>
        <v>10.412811387900355</v>
      </c>
      <c r="AN13" s="875">
        <f>IF(ISNUMBER('Resol  Asuntos'!D13/NºAsuntos!G13),'Resol  Asuntos'!D13/NºAsuntos!G13," - ")</f>
        <v>0.24555160142348753</v>
      </c>
      <c r="AO13" s="876">
        <f>IF(ISNUMBER((NºAsuntos!C13+NºAsuntos!E13)/NºAsuntos!G13),(NºAsuntos!C13+NºAsuntos!E13)/NºAsuntos!G13," - ")</f>
        <v>6.2064056939501775</v>
      </c>
      <c r="AP13" s="877" t="str">
        <f t="shared" si="2"/>
        <v xml:space="preserve"> - </v>
      </c>
      <c r="AQ13" s="877">
        <f>IF(ISNUMBER((H13-W13+K13)/(F13)),(H13-W13+K13)/(F13)," - ")</f>
        <v>-0.2</v>
      </c>
      <c r="AR13" s="878">
        <f>IF(ISNUMBER((Datos!P13-Datos!Q13)/(Datos!R13-Datos!P13+Datos!Q13)),(Datos!P13-Datos!Q13)/(Datos!R13-Datos!P13+Datos!Q13)," - ")</f>
        <v>3.5326086956521736E-2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776</v>
      </c>
      <c r="G16" s="333">
        <f>IF(ISNUMBER(IF(D_I="SI",Datos!I16,Datos!I16+Datos!AC16)),IF(D_I="SI",Datos!I16,Datos!I16+Datos!AC16)," - ")</f>
        <v>776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253</v>
      </c>
      <c r="X16" s="226">
        <f>IF(ISNUMBER(Datos!Q16),Datos!Q16," - ")</f>
        <v>8</v>
      </c>
      <c r="Y16" s="334">
        <f t="shared" ref="Y16:Y17" si="7">SUM(W16:X16)</f>
        <v>261</v>
      </c>
      <c r="Z16" s="335" t="str">
        <f>IF(ISNUMBER(Datos!CC16),Datos!CC16," - ")</f>
        <v xml:space="preserve"> - </v>
      </c>
      <c r="AA16" s="332">
        <f>IF(ISNUMBER(IF(D_I="SI",Datos!L16,Datos!L16+Datos!AF16)),IF(D_I="SI",Datos!L16,Datos!L16+Datos!AF16)," - ")</f>
        <v>806</v>
      </c>
      <c r="AB16" s="334">
        <f>IF(ISNUMBER(Datos!R16),Datos!R16," - ")</f>
        <v>111</v>
      </c>
      <c r="AC16" s="334">
        <f t="shared" si="6"/>
        <v>917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0.89399293286219084</v>
      </c>
      <c r="AM16" s="260">
        <f>IF(ISNUMBER(((NºAsuntos!I16/NºAsuntos!G16)*11)/factor_trimestre),((NºAsuntos!I16/NºAsuntos!G16)*11)/factor_trimestre," - ")</f>
        <v>6.3715415019762842</v>
      </c>
      <c r="AN16" s="244">
        <f>IF(ISNUMBER('Resol  Asuntos'!D16/NºAsuntos!G16),'Resol  Asuntos'!D16/NºAsuntos!G16," - ")</f>
        <v>0.20948616600790515</v>
      </c>
      <c r="AO16" s="245">
        <f>IF(ISNUMBER((NºAsuntos!C16+NºAsuntos!E16)/NºAsuntos!G16),(NºAsuntos!C16+NºAsuntos!E16)/NºAsuntos!G16," - ")</f>
        <v>4.1857707509881426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98</v>
      </c>
      <c r="AB17" s="334">
        <f>IF(ISNUMBER(Datos!R17),Datos!R17," - ")</f>
        <v>4</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0.92727272727272725</v>
      </c>
      <c r="AM17" s="260">
        <f>IF(ISNUMBER(((NºAsuntos!I17/NºAsuntos!G17)*11)/factor_trimestre),((NºAsuntos!I17/NºAsuntos!G17)*11)/factor_trimestre," - ")</f>
        <v>3.8431372549019609</v>
      </c>
      <c r="AN17" s="244">
        <f>IF(ISNUMBER('Resol  Asuntos'!D17/NºAsuntos!G17),'Resol  Asuntos'!D17/NºAsuntos!G17," - ")</f>
        <v>0.17647058823529413</v>
      </c>
      <c r="AO17" s="245">
        <f>IF(ISNUMBER((NºAsuntos!C17+NºAsuntos!E17)/NºAsuntos!G17),(NºAsuntos!C17+NºAsuntos!E17)/NºAsuntos!G17," - ")</f>
        <v>2.9215686274509802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776</v>
      </c>
      <c r="G18" s="866">
        <f>SUBTOTAL(9,G15:G17)</f>
        <v>870</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304</v>
      </c>
      <c r="X18" s="867">
        <f t="shared" si="11"/>
        <v>8</v>
      </c>
      <c r="Y18" s="868">
        <f t="shared" si="11"/>
        <v>312</v>
      </c>
      <c r="Z18" s="868">
        <f t="shared" si="11"/>
        <v>0</v>
      </c>
      <c r="AA18" s="868">
        <f t="shared" si="11"/>
        <v>904</v>
      </c>
      <c r="AB18" s="868">
        <f t="shared" si="11"/>
        <v>115</v>
      </c>
      <c r="AC18" s="868">
        <f t="shared" si="11"/>
        <v>1019</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0.89940828402366868</v>
      </c>
      <c r="AM18" s="874">
        <f>IF(ISNUMBER(((NºAsuntos!I18/NºAsuntos!G18)*11)/factor_trimestre),((NºAsuntos!I18/NºAsuntos!G18)*11)/factor_trimestre," - ")</f>
        <v>5.947368421052631</v>
      </c>
      <c r="AN18" s="875">
        <f>IF(ISNUMBER('Resol  Asuntos'!D18/NºAsuntos!G18),'Resol  Asuntos'!D18/NºAsuntos!G18," - ")</f>
        <v>0.20394736842105263</v>
      </c>
      <c r="AO18" s="876">
        <f>IF(ISNUMBER((NºAsuntos!C18+NºAsuntos!E18)/NºAsuntos!G18),(NºAsuntos!C18+NºAsuntos!E18)/NºAsuntos!G18," - ")</f>
        <v>3.9736842105263159</v>
      </c>
      <c r="AP18" s="877" t="str">
        <f t="shared" si="2"/>
        <v xml:space="preserve"> - </v>
      </c>
      <c r="AQ18" s="877">
        <f>IF(ISNUMBER((H18-W18+K18)/(F18)),(H18-W18+K18)/(F18)," - ")</f>
        <v>-0.39175257731958762</v>
      </c>
      <c r="AR18" s="878">
        <f>IF(ISNUMBER((Datos!P18-Datos!Q18)/(Datos!R18-Datos!P18+Datos!Q18)),(Datos!P18-Datos!Q18)/(Datos!R18-Datos!P18+Datos!Q18)," - ")</f>
        <v>0.23655913978494625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796</v>
      </c>
      <c r="G19" s="821">
        <f t="shared" si="13"/>
        <v>890</v>
      </c>
      <c r="H19" s="820">
        <f t="shared" si="13"/>
        <v>0</v>
      </c>
      <c r="I19" s="822">
        <f t="shared" si="13"/>
        <v>0</v>
      </c>
      <c r="J19" s="822">
        <f t="shared" si="13"/>
        <v>0</v>
      </c>
      <c r="K19" s="881">
        <f t="shared" si="13"/>
        <v>0</v>
      </c>
      <c r="L19" s="822">
        <f t="shared" si="13"/>
        <v>112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308</v>
      </c>
      <c r="X19" s="821">
        <f t="shared" si="14"/>
        <v>38</v>
      </c>
      <c r="Y19" s="828">
        <f t="shared" si="14"/>
        <v>346</v>
      </c>
      <c r="Z19" s="828">
        <f t="shared" si="14"/>
        <v>0</v>
      </c>
      <c r="AA19" s="828">
        <f t="shared" si="14"/>
        <v>934</v>
      </c>
      <c r="AB19" s="828">
        <f t="shared" si="14"/>
        <v>1639</v>
      </c>
      <c r="AC19" s="828">
        <f t="shared" si="14"/>
        <v>1052</v>
      </c>
      <c r="AD19" s="828">
        <f t="shared" si="14"/>
        <v>0</v>
      </c>
      <c r="AE19" s="830">
        <f t="shared" si="14"/>
        <v>0</v>
      </c>
      <c r="AF19" s="831">
        <f t="shared" si="14"/>
        <v>0</v>
      </c>
      <c r="AG19" s="832">
        <f t="shared" si="14"/>
        <v>0</v>
      </c>
      <c r="AH19" s="830">
        <f t="shared" si="14"/>
        <v>0</v>
      </c>
      <c r="AI19" s="820">
        <f t="shared" si="14"/>
        <v>131</v>
      </c>
      <c r="AJ19" s="820">
        <f t="shared" si="14"/>
        <v>0</v>
      </c>
      <c r="AK19" s="830">
        <f t="shared" si="14"/>
        <v>0</v>
      </c>
      <c r="AL19" s="884">
        <f>IF(ISNUMBER(NºAsuntos!G19/NºAsuntos!E19),NºAsuntos!G19/NºAsuntos!E19," - ")</f>
        <v>0.75386597938144329</v>
      </c>
      <c r="AM19" s="885">
        <f>IF(ISNUMBER(((NºAsuntos!I19/NºAsuntos!G19)*11)/factor_trimestre),((NºAsuntos!I19/NºAsuntos!G19)*11)/factor_trimestre," - ")</f>
        <v>8.092307692307692</v>
      </c>
      <c r="AN19" s="885">
        <f>IF(ISNUMBER('Resol  Asuntos'!D19/NºAsuntos!G19),'Resol  Asuntos'!D19/NºAsuntos!G19," - ")</f>
        <v>0.22393162393162394</v>
      </c>
      <c r="AO19" s="886">
        <f>IF(ISNUMBER((NºAsuntos!C19+NºAsuntos!E19)/NºAsuntos!G19),(NºAsuntos!C19+NºAsuntos!E19)/NºAsuntos!G19," - ")</f>
        <v>5.046153846153846</v>
      </c>
      <c r="AP19" s="887" t="str">
        <f t="shared" si="2"/>
        <v xml:space="preserve"> - </v>
      </c>
      <c r="AQ19" s="888">
        <f>IF(OR(ISNUMBER(FIND("01",Criterios!A8,1)),ISNUMBER(FIND("02",Criterios!A8,1)),ISNUMBER(FIND("03",Criterios!A8,1)),ISNUMBER(FIND("04",Criterios!A8,1))),(I19-W19+K19)/(F19-K19),(H19-W19+K19)/(F19-K19))</f>
        <v>-0.38693467336683418</v>
      </c>
      <c r="AR19" s="889">
        <f>IF(ISNUMBER((Datos!P19-Datos!Q19)/(Datos!R19-Datos!P19+Datos!Q19)),(Datos!P19-Datos!Q19)/(Datos!R19-Datos!P19+Datos!Q19)," - ")</f>
        <v>4.7284345047923323E-2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436.47680350735709</v>
      </c>
      <c r="G21" s="253">
        <f>IF(ISNUMBER(STDEV(G8:G18)),STDEV(G8:G18),"-")</f>
        <v>428.67003627498855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144.19327307471733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30.157365048469781</v>
      </c>
      <c r="AJ21" s="252">
        <f t="shared" si="18"/>
        <v>0</v>
      </c>
      <c r="AK21" s="254">
        <f t="shared" si="18"/>
        <v>0</v>
      </c>
      <c r="AL21" s="249">
        <f t="shared" si="18"/>
        <v>0.24680800031730621</v>
      </c>
      <c r="AM21" s="250">
        <f t="shared" si="18"/>
        <v>4.0474633685114547</v>
      </c>
      <c r="AN21" s="250">
        <f t="shared" si="18"/>
        <v>0.11896035103033999</v>
      </c>
      <c r="AO21" s="251">
        <f t="shared" si="18"/>
        <v>2.0237316842557278</v>
      </c>
      <c r="AP21" s="291" t="str">
        <f t="shared" si="18"/>
        <v>-</v>
      </c>
      <c r="AQ21" s="292">
        <f t="shared" si="18"/>
        <v>0.13558954773267815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DOJqhGr10LHfJ2GfVfimptmKXlE+52QaW18RamUrBu3GsQVGEvSAQI9h9lpW+xPByzoEyVI9qurLF1wZA86Cw==" saltValue="gZi3m9d6xdvJ+jRfR/7u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GUADIX</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2.5</v>
      </c>
      <c r="F10" s="348">
        <f>IF(ISNUMBER((Datos!K10-Datos!U10)/Datos!U10),(Datos!K10-Datos!U10)/Datos!U10," - ")</f>
        <v>0.33333333333333331</v>
      </c>
      <c r="G10" s="349">
        <f>IF(ISNUMBER((Datos!L10-Datos!V10)/Datos!V10),(Datos!L10-Datos!V10)/Datos!V10," - ")</f>
        <v>0.57894736842105265</v>
      </c>
      <c r="H10" s="230">
        <f>IF(ISNUMBER((Datos!M10-Datos!W10)/Datos!W10),(Datos!M10-Datos!W10)/Datos!W10," - ")</f>
        <v>0</v>
      </c>
      <c r="I10" s="350">
        <f>IF(ISNUMBER((Tasas!C10-Datos!BE10)/Datos!BE10),(Tasas!C10-Datos!BE10)/Datos!BE10," - ")</f>
        <v>0.18421052631578952</v>
      </c>
      <c r="J10" s="349">
        <f>IF(ISNUMBER((Tasas!D10-Datos!BF10)/Datos!BF10),(Tasas!D10-Datos!BF10)/Datos!BF10," - ")</f>
        <v>-0.24999999999999994</v>
      </c>
      <c r="K10" s="351">
        <f>IF(ISNUMBER((Tasas!E10-Datos!BG10)/Datos!BG10),(Tasas!E10-Datos!BG10)/Datos!BG10," - ")</f>
        <v>0.15909090909090914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-0.10666666666666667</v>
      </c>
      <c r="I12" s="350">
        <f>IF(ISNUMBER((Tasas!C12-Datos!BE12)/Datos!BE12),(Tasas!C12-Datos!BE12)/Datos!BE12," - ")</f>
        <v>0.43399835328393177</v>
      </c>
      <c r="J12" s="349">
        <f>IF(ISNUMBER((Tasas!D12-Datos!BF12)/Datos!BF12),(Tasas!D12-Datos!BF12)/Datos!BF12," - ")</f>
        <v>-0.27206463812962006</v>
      </c>
      <c r="K12" s="351">
        <f>IF(ISNUMBER((Tasas!E12-Datos!BG12)/Datos!BG12),(Tasas!E12-Datos!BG12)/Datos!BG12," - ")</f>
        <v>0.33980640298329834</v>
      </c>
      <c r="M12" t="e">
        <f>IF(Monitorios="SI",Datos!CE12,0)</f>
        <v>#REF!</v>
      </c>
      <c r="N12" t="e">
        <f>IF(Monitorios="SI",Datos!CF12,0)</f>
        <v>#REF!</v>
      </c>
      <c r="O12" t="e">
        <f>IF(Monitorios="SI",Datos!CG12,0)</f>
        <v>#REF!</v>
      </c>
      <c r="P12" t="e">
        <f>IF(Monitorios="SI",Datos!CH12,0)</f>
        <v>#REF!</v>
      </c>
      <c r="Q12">
        <f>IF(J_V="SI",0,Datos!AG12)</f>
        <v>45</v>
      </c>
      <c r="R12">
        <f>IF(J_V="SI",0,Datos!AH12)</f>
        <v>87</v>
      </c>
      <c r="S12">
        <f>IF(J_V="SI",0,Datos!AI12)</f>
        <v>33</v>
      </c>
      <c r="T12">
        <f>IF(J_V="SI",0,Datos!AJ12)</f>
        <v>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-0.1038961038961039</v>
      </c>
      <c r="I13" s="357">
        <f>IF(ISNUMBER((Tasas!C13-Datos!BE13)/Datos!BE13),(Tasas!C13-Datos!BE13)/Datos!BE13," - ")</f>
        <v>0.43299690799836638</v>
      </c>
      <c r="J13" s="355">
        <f>IF(ISNUMBER((Tasas!D13-Datos!BF13)/Datos!BF13),(Tasas!D13-Datos!BF13)/Datos!BF13," - ")</f>
        <v>-0.26793494528885486</v>
      </c>
      <c r="K13" s="358">
        <f>IF(ISNUMBER((Tasas!E13-Datos!BG13)/Datos!BG13),(Tasas!E13-Datos!BG13)/Datos!BG13," - ")</f>
        <v>0.33954223029100572</v>
      </c>
      <c r="M13" t="e">
        <f>IF(Monitorios="SI",Datos!CE13,0)</f>
        <v>#REF!</v>
      </c>
      <c r="N13" t="e">
        <f>IF(Monitorios="SI",Datos!CF13,0)</f>
        <v>#REF!</v>
      </c>
      <c r="O13" t="e">
        <f>IF(Monitorios="SI",Datos!CG13,0)</f>
        <v>#REF!</v>
      </c>
      <c r="P13" t="e">
        <f>IF(Monitorios="SI",Datos!CH13,0)</f>
        <v>#REF!</v>
      </c>
      <c r="Q13">
        <f>IF(J_V="SI",0,Datos!AG13)</f>
        <v>45</v>
      </c>
      <c r="R13">
        <f>IF(J_V="SI",0,Datos!AH13)</f>
        <v>87</v>
      </c>
      <c r="S13">
        <f>IF(J_V="SI",0,Datos!AI13)</f>
        <v>33</v>
      </c>
      <c r="T13">
        <f>IF(J_V="SI",0,Datos!AJ13)</f>
        <v>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-0.23092170465807729</v>
      </c>
      <c r="E16" s="348">
        <f>IF(ISNUMBER(
   IF(D_I="SI",(Datos!J16-Datos!T16)/Datos!T16,(Datos!J16+Datos!AD16-(Datos!T16+Datos!AL16))/(Datos!T16+Datos!AL16))
     ),IF(D_I="SI",(Datos!J16-Datos!T16)/Datos!T16,(Datos!J16+Datos!AD16-(Datos!T16+Datos!AL16))/(Datos!T16+Datos!AL16))," - ")</f>
        <v>1.0714285714285714E-2</v>
      </c>
      <c r="F16" s="348">
        <f>IF(ISNUMBER(
   IF(D_I="SI",(Datos!K16-Datos!U16)/Datos!U16,(Datos!K16+Datos!AE16-(Datos!U16+Datos!AM16))/(Datos!U16+Datos!AM16))
     ),IF(D_I="SI",(Datos!K16-Datos!U16)/Datos!U16,(Datos!K16+Datos!AE16-(Datos!U16+Datos!AM16))/(Datos!U16+Datos!AM16))," - ")</f>
        <v>-0.21183800623052959</v>
      </c>
      <c r="G16" s="349">
        <f>IF(ISNUMBER(
   IF(D_I="SI",(Datos!L16-Datos!V16)/Datos!V16,(Datos!L16+Datos!AF16-(Datos!V16+Datos!AN16))/(Datos!V16+Datos!AN16))
     ),IF(D_I="SI",(Datos!L16-Datos!V16)/Datos!V16,(Datos!L16+Datos!AF16-(Datos!V16+Datos!AN16))/(Datos!V16+Datos!AN16))," - ")</f>
        <v>-0.16735537190082644</v>
      </c>
      <c r="H16" s="230">
        <f>IF(ISNUMBER((Datos!M16-Datos!W16)/Datos!W16),(Datos!M16-Datos!W16)/Datos!W16," - ")</f>
        <v>-0.13114754098360656</v>
      </c>
      <c r="I16" s="350">
        <f>IF(ISNUMBER((Tasas!C16-Datos!BE16)/Datos!BE16),(Tasas!C16-Datos!BE16)/Datos!BE16," - ")</f>
        <v>5.6438441185117413E-2</v>
      </c>
      <c r="J16" s="349">
        <f>IF(ISNUMBER((Tasas!D16-Datos!BF16)/Datos!BF16),(Tasas!D16-Datos!BF16)/Datos!BF16," - ")</f>
        <v>0.10237802112356649</v>
      </c>
      <c r="K16" s="351">
        <f>IF(ISNUMBER((Tasas!E16-Datos!BG16)/Datos!BG16),(Tasas!E16-Datos!BG16)/Datos!BG16," - ")</f>
        <v>4.2383561727846117E-2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-2.0833333333333332E-2</v>
      </c>
      <c r="E17" s="348">
        <f>IF(ISNUMBER(
   IF(D_I="SI",(Datos!J17-Datos!T17)/Datos!T17,(Datos!J17+Datos!AD17-(Datos!T17+Datos!AL17))/(Datos!T17+Datos!AL17))
     ),IF(D_I="SI",(Datos!J17-Datos!T17)/Datos!T17,(Datos!J17+Datos!AD17-(Datos!T17+Datos!AL17))/(Datos!T17+Datos!AL17))," - ")</f>
        <v>-9.8360655737704916E-2</v>
      </c>
      <c r="F17" s="348">
        <f>IF(ISNUMBER(
   IF(D_I="SI",(Datos!K17-Datos!U17)/Datos!U17,(Datos!K17+Datos!AE17-(Datos!U17+Datos!AM17))/(Datos!U17+Datos!AM17))
     ),IF(D_I="SI",(Datos!K17-Datos!U17)/Datos!U17,(Datos!K17+Datos!AE17-(Datos!U17+Datos!AM17))/(Datos!U17+Datos!AM17))," - ")</f>
        <v>-0.15</v>
      </c>
      <c r="G17" s="349">
        <f>IF(ISNUMBER(
   IF(D_I="SI",(Datos!L17-Datos!V17)/Datos!V17,(Datos!L17+Datos!AF17-(Datos!V17+Datos!AN17))/(Datos!V17+Datos!AN17))
     ),IF(D_I="SI",(Datos!L17-Datos!V17)/Datos!V17,(Datos!L17+Datos!AF17-(Datos!V17+Datos!AN17))/(Datos!V17+Datos!AN17))," - ")</f>
        <v>1.0309278350515464E-2</v>
      </c>
      <c r="H17" s="230">
        <f>IF(ISNUMBER((Datos!M17-Datos!W17)/Datos!W17),(Datos!M17-Datos!W17)/Datos!W17," - ")</f>
        <v>-0.18181818181818182</v>
      </c>
      <c r="I17" s="350">
        <f>IF(ISNUMBER((Tasas!C17-Datos!BE17)/Datos!BE17),(Tasas!C17-Datos!BE17)/Datos!BE17," - ")</f>
        <v>0.18859915100060645</v>
      </c>
      <c r="J17" s="349">
        <f>IF(ISNUMBER((Tasas!D17-Datos!BF17)/Datos!BF17),(Tasas!D17-Datos!BF17)/Datos!BF17," - ")</f>
        <v>-3.7433155080213776E-2</v>
      </c>
      <c r="K17" s="351">
        <f>IF(ISNUMBER((Tasas!E17-Datos!BG17)/Datos!BG17),(Tasas!E17-Datos!BG17)/Datos!BG17," - ")</f>
        <v>0.11652304233795421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-0.21266968325791855</v>
      </c>
      <c r="E18" s="354">
        <f>IF(ISNUMBER(
   IF(D_I="SI",(Datos!J18-Datos!T18)/Datos!T18,(Datos!J18+Datos!AD18-(Datos!T18+Datos!AL18))/(Datos!T18+Datos!AL18))
     ),IF(D_I="SI",(Datos!J18-Datos!T18)/Datos!T18,(Datos!J18+Datos!AD18-(Datos!T18+Datos!AL18))/(Datos!T18+Datos!AL18))," - ")</f>
        <v>-8.7976539589442824E-3</v>
      </c>
      <c r="F18" s="354">
        <f>IF(ISNUMBER(
   IF(D_I="SI",(Datos!K18-Datos!U18)/Datos!U18,(Datos!K18+Datos!AE18-(Datos!U18+Datos!AM18))/(Datos!U18+Datos!AM18))
     ),IF(D_I="SI",(Datos!K18-Datos!U18)/Datos!U18,(Datos!K18+Datos!AE18-(Datos!U18+Datos!AM18))/(Datos!U18+Datos!AM18))," - ")</f>
        <v>-0.20209973753280841</v>
      </c>
      <c r="G18" s="355">
        <f>IF(ISNUMBER(
   IF(D_I="SI",(Datos!L18-Datos!V18)/Datos!V18,(Datos!L18+Datos!AF18-(Datos!V18+Datos!AN18))/(Datos!V18+Datos!AN18))
     ),IF(D_I="SI",(Datos!L18-Datos!V18)/Datos!V18,(Datos!L18+Datos!AF18-(Datos!V18+Datos!AN18))/(Datos!V18+Datos!AN18))," - ")</f>
        <v>-0.1511737089201878</v>
      </c>
      <c r="H18" s="356">
        <f>IF(ISNUMBER((Datos!M18-Datos!W18)/Datos!W18),(Datos!M18-Datos!W18)/Datos!W18," - ")</f>
        <v>-0.1388888888888889</v>
      </c>
      <c r="I18" s="357">
        <f>IF(ISNUMBER((Tasas!C18-Datos!BE18)/Datos!BE18),(Tasas!C18-Datos!BE18)/Datos!BE18," - ")</f>
        <v>6.38250555967384E-2</v>
      </c>
      <c r="J18" s="355">
        <f>IF(ISNUMBER((Tasas!D18-Datos!BF18)/Datos!BF18),(Tasas!D18-Datos!BF18)/Datos!BF18," - ")</f>
        <v>7.9221491228070165E-2</v>
      </c>
      <c r="K18" s="358">
        <f>IF(ISNUMBER((Tasas!E18-Datos!BG18)/Datos!BG18),(Tasas!E18-Datos!BG18)/Datos!BG18," - ")</f>
        <v>4.7008080366892392E-2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1.2563983248022336E-2</v>
      </c>
      <c r="E19" s="363">
        <f>IF(ISNUMBER(
   IF(J_V="SI",(Datos!J19-Datos!T19)/Datos!T19,(Datos!J19+Datos!Z19-(Datos!T19+Datos!AH19))/(Datos!T19+Datos!AH19))
     ),IF(J_V="SI",(Datos!J19-Datos!T19)/Datos!T19,(Datos!J19+Datos!Z19-(Datos!T19+Datos!AH19))/(Datos!T19+Datos!AH19))," - ")</f>
        <v>1.2903225806451613E-3</v>
      </c>
      <c r="F19" s="363">
        <f>IF(ISNUMBER(
   IF(J_V="SI",(Datos!K19-Datos!U19)/Datos!U19,(Datos!K19+Datos!AA19-(Datos!U19+Datos!AI19))/(Datos!U19+Datos!AI19))
     ),IF(J_V="SI",(Datos!K19-Datos!U19)/Datos!U19,(Datos!K19+Datos!AA19-(Datos!U19+Datos!AI19))/(Datos!U19+Datos!AI19))," - ")</f>
        <v>-0.16428571428571428</v>
      </c>
      <c r="G19" s="364">
        <f>IF(ISNUMBER(
   IF(J_V="SI",(Datos!L19-Datos!V19)/Datos!V19,(Datos!L19+Datos!AB19-(Datos!V19+Datos!AJ19))/(Datos!V19+Datos!AJ19))
     ),IF(J_V="SI",(Datos!L19-Datos!V19)/Datos!V19,(Datos!L19+Datos!AB19-(Datos!V19+Datos!AJ19))/(Datos!V19+Datos!AJ19))," - ")</f>
        <v>6.4298561151079139E-2</v>
      </c>
      <c r="H19" s="365">
        <f>IF(ISNUMBER((Datos!M19-Datos!W19)/Datos!W19),(Datos!M19-Datos!W19)/Datos!W19," - ")</f>
        <v>-0.12080536912751678</v>
      </c>
      <c r="I19" s="362">
        <f>IF(ISNUMBER((Tasas!C19-Datos!BE19)/Datos!BE19),(Tasas!C19-Datos!BE19)/Datos!BE19," - ")</f>
        <v>0.2735196458218041</v>
      </c>
      <c r="J19" s="363">
        <f>IF(ISNUMBER((Tasas!D19-Datos!BF19)/Datos!BF19),(Tasas!D19-Datos!BF19)/Datos!BF19," - ")</f>
        <v>-0.12428973881487848</v>
      </c>
      <c r="K19" s="364">
        <f>IF(ISNUMBER((Tasas!E19-Datos!BG19)/Datos!BG19),(Tasas!E19-Datos!BG19)/Datos!BG19," - ")</f>
        <v>0.20803956645269914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0.16342715795537568</v>
      </c>
      <c r="E21" s="278">
        <f t="shared" si="1"/>
        <v>1.2669644405386413</v>
      </c>
      <c r="F21" s="278">
        <f t="shared" si="1"/>
        <v>0.26206624949824203</v>
      </c>
      <c r="G21" s="279">
        <f t="shared" si="1"/>
        <v>0.35015439149663785</v>
      </c>
      <c r="H21" s="285">
        <f t="shared" si="1"/>
        <v>6.0970537693472437E-2</v>
      </c>
      <c r="I21" s="277">
        <f t="shared" si="1"/>
        <v>0.16988542882302562</v>
      </c>
      <c r="J21" s="278">
        <f t="shared" si="1"/>
        <v>0.17717228218646044</v>
      </c>
      <c r="K21" s="279">
        <f t="shared" si="1"/>
        <v>0.13555197416236997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kuZLdOCNB/HHCmoZ+TcBR76moExXMaDJm9NPGUNLXgbjXDp0rKN34XzmTlprRX1ClI+0YQzF/9P//nm48z2SQ==" saltValue="OT37vHdTE8cc+MfypGZ86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14</v>
      </c>
      <c r="F10" s="226">
        <f>IF(ISNUMBER(Datos!K10),Datos!K10," - ")</f>
        <v>4</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56.906137184115522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14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776</v>
      </c>
      <c r="D16" s="225">
        <f>IF(ISNUMBER(IF(D_I="SI",Datos!I16,Datos!I16+Datos!AC16)),IF(D_I="SI",Datos!I16,Datos!I16+Datos!AC16)," - ")</f>
        <v>776</v>
      </c>
      <c r="E16" s="226">
        <f>IF(ISNUMBER(IF(D_I="SI",Datos!J16,Datos!J16+Datos!AD16)),IF(D_I="SI",Datos!J16,Datos!J16+Datos!AD16)," - ")</f>
        <v>283</v>
      </c>
      <c r="F16" s="226">
        <f>IF(ISNUMBER(IF(D_I="SI",Datos!K16,Datos!K16+Datos!AE16)),IF(D_I="SI",Datos!K16,Datos!K16+Datos!AE16)," - ")</f>
        <v>253</v>
      </c>
      <c r="G16" s="1034" t="str">
        <f>IF(Datos!E16&lt;&gt;"",Datos!E16,Datos!D16)</f>
        <v>04</v>
      </c>
      <c r="H16" s="227">
        <f>IF(ISNUMBER(IF(D_I="SI",Datos!L16,Datos!L16+Datos!AF16)),IF(D_I="SI",Datos!L16,Datos!L16+Datos!AF16)," - ")</f>
        <v>806</v>
      </c>
      <c r="I16" s="1044" t="str">
        <f>IF(ISNUMBER(Datos!AS16/Datos!BM16),Datos!AS16/Datos!BM16," - ")</f>
        <v xml:space="preserve"> - </v>
      </c>
      <c r="J16" s="1045">
        <f>IF(ISNUMBER(Datos!BY16/Datos!CN16),Datos!BY16/Datos!CN16," - ")</f>
        <v>0</v>
      </c>
      <c r="K16" s="230">
        <f t="shared" si="3"/>
        <v>3.8659793814432991E-2</v>
      </c>
      <c r="L16" s="1025">
        <f>IF(ISNUMBER(NºAsuntos!I16/NºAsuntos!G16),(NºAsuntos!I16/NºAsuntos!G16)*11," - ")</f>
        <v>35.043478260869563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55</v>
      </c>
      <c r="F17" s="226">
        <f>IF(ISNUMBER(IF(D_I="SI",Datos!K17,Datos!K17+Datos!AE17)),IF(D_I="SI",Datos!K17,Datos!K17+Datos!AE17)," - ")</f>
        <v>51</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4.2553191489361701E-2</v>
      </c>
      <c r="L17" s="1025">
        <f>IF(ISNUMBER(NºAsuntos!I17/NºAsuntos!G17),(NºAsuntos!I17/NºAsuntos!G17)*11," - ")</f>
        <v>21.137254901960784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870</v>
      </c>
      <c r="D18" s="1049">
        <f>SUBTOTAL(9,D15:D17)</f>
        <v>870</v>
      </c>
      <c r="E18" s="1050">
        <f>SUBTOTAL(9,E15:E17)</f>
        <v>338</v>
      </c>
      <c r="F18" s="1050">
        <f>SUBTOTAL(9,F15:F17)</f>
        <v>304</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890</v>
      </c>
      <c r="D19" s="1071">
        <f>SUBTOTAL(9,D9:D18)</f>
        <v>890</v>
      </c>
      <c r="E19" s="1072">
        <f>SUBTOTAL(9,E9:E18)</f>
        <v>352</v>
      </c>
      <c r="F19" s="1072">
        <f>SUBTOTAL(9,F9:F18)</f>
        <v>308</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b93NuTDA+xIHZHSOPiqIRTMQfkFMvf/XZVkBD2PPVeoseP1+936bmZ7/hGPdfPikwoAI7gUFwucow3YUgX1lw==" saltValue="+0pzQoWF/VJ25sJb3WHC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YpmIYhtNMCtqtxdPAQf+/3c1alTiO+EESK+kg+gQ9izkLA3MWIf42+LB2FmKpSYNsl4oYe1TLheYWyl2LBFbw==" saltValue="4LP7BEnz5kNJ1fGVTZGz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14</v>
      </c>
      <c r="K10" s="181">
        <v>4</v>
      </c>
      <c r="L10" s="181">
        <v>30</v>
      </c>
      <c r="M10" s="181">
        <v>2</v>
      </c>
      <c r="N10" s="181">
        <v>1</v>
      </c>
      <c r="O10" s="181">
        <v>1</v>
      </c>
      <c r="P10" s="181">
        <v>0</v>
      </c>
      <c r="Q10" s="181">
        <v>0</v>
      </c>
      <c r="R10" s="181">
        <v>3</v>
      </c>
      <c r="S10" s="181">
        <v>18</v>
      </c>
      <c r="T10" s="181">
        <v>4</v>
      </c>
      <c r="U10" s="181">
        <v>3</v>
      </c>
      <c r="V10" s="181">
        <v>19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4</v>
      </c>
      <c r="BA10" s="129">
        <f t="shared" si="0"/>
        <v>3</v>
      </c>
      <c r="BB10" s="129">
        <f t="shared" si="0"/>
        <v>19</v>
      </c>
      <c r="BC10" s="125">
        <f t="shared" si="0"/>
        <v>2</v>
      </c>
      <c r="BD10" s="126">
        <f>IF(ISNUMBER(BA10/AZ10),BA10/AZ10," - ")</f>
        <v>0.75</v>
      </c>
      <c r="BE10" s="127">
        <f>IF(ISNUMBER(BB10/BA10),BB10/BA10, " - ")</f>
        <v>6.333333333333333</v>
      </c>
      <c r="BF10" s="127">
        <f>IF(ISNUMBER(BC10/BA10),BC10/BA10, " - ")</f>
        <v>0.66666666666666663</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1126</v>
      </c>
      <c r="J12" s="183">
        <v>382</v>
      </c>
      <c r="K12" s="183">
        <v>253</v>
      </c>
      <c r="L12" s="183">
        <v>1255</v>
      </c>
      <c r="M12" s="183">
        <v>67</v>
      </c>
      <c r="N12" s="183">
        <v>121</v>
      </c>
      <c r="O12" s="181">
        <v>110</v>
      </c>
      <c r="P12" s="183">
        <v>82</v>
      </c>
      <c r="Q12" s="183">
        <v>30</v>
      </c>
      <c r="R12" s="183">
        <v>1521</v>
      </c>
      <c r="S12" s="183">
        <v>981</v>
      </c>
      <c r="T12" s="183">
        <v>343</v>
      </c>
      <c r="U12" s="183">
        <v>283</v>
      </c>
      <c r="V12" s="183">
        <v>1041</v>
      </c>
      <c r="W12" s="183">
        <v>75</v>
      </c>
      <c r="X12" s="189">
        <v>105</v>
      </c>
      <c r="Y12" s="191">
        <v>160</v>
      </c>
      <c r="Z12" s="181">
        <v>42</v>
      </c>
      <c r="AA12" s="181">
        <v>24</v>
      </c>
      <c r="AB12" s="181">
        <v>178</v>
      </c>
      <c r="AC12" s="183">
        <v>0</v>
      </c>
      <c r="AD12" s="183">
        <v>0</v>
      </c>
      <c r="AE12" s="183">
        <v>0</v>
      </c>
      <c r="AF12" s="189">
        <v>0</v>
      </c>
      <c r="AG12" s="202">
        <v>45</v>
      </c>
      <c r="AH12" s="183">
        <v>87</v>
      </c>
      <c r="AI12" s="183">
        <v>33</v>
      </c>
      <c r="AJ12" s="203">
        <v>99</v>
      </c>
      <c r="AK12" s="182">
        <v>0</v>
      </c>
      <c r="AL12" s="183">
        <v>0</v>
      </c>
      <c r="AM12" s="183">
        <v>0</v>
      </c>
      <c r="AN12" s="189">
        <v>0</v>
      </c>
      <c r="AO12" s="259">
        <v>2</v>
      </c>
      <c r="AP12" s="155">
        <v>2</v>
      </c>
      <c r="AQ12" s="155">
        <v>2</v>
      </c>
      <c r="AR12" s="154">
        <v>2</v>
      </c>
      <c r="AS12" s="340" t="s">
        <v>802</v>
      </c>
      <c r="AT12" s="203"/>
      <c r="AU12" s="202"/>
      <c r="AV12" s="203"/>
      <c r="AW12" s="202"/>
      <c r="AX12" s="203"/>
      <c r="AY12" s="126">
        <f t="shared" si="1"/>
        <v>1026</v>
      </c>
      <c r="AZ12" s="127">
        <f t="shared" si="1"/>
        <v>430</v>
      </c>
      <c r="BA12" s="127">
        <f t="shared" si="1"/>
        <v>316</v>
      </c>
      <c r="BB12" s="127">
        <f t="shared" si="1"/>
        <v>1140</v>
      </c>
      <c r="BC12" s="125">
        <f>IF(ISNUMBER(X12),X12," - ")</f>
        <v>105</v>
      </c>
      <c r="BD12" s="126">
        <f t="shared" si="2"/>
        <v>0.73488372093023258</v>
      </c>
      <c r="BE12" s="127">
        <f t="shared" si="3"/>
        <v>3.6075949367088609</v>
      </c>
      <c r="BF12" s="127">
        <f t="shared" si="4"/>
        <v>0.33227848101265822</v>
      </c>
      <c r="BG12" s="196">
        <f t="shared" si="5"/>
        <v>4.6075949367088604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1146</v>
      </c>
      <c r="J13" s="184">
        <f t="shared" si="6"/>
        <v>396</v>
      </c>
      <c r="K13" s="184">
        <f t="shared" si="6"/>
        <v>257</v>
      </c>
      <c r="L13" s="184">
        <f t="shared" si="6"/>
        <v>1285</v>
      </c>
      <c r="M13" s="184">
        <f t="shared" si="6"/>
        <v>69</v>
      </c>
      <c r="N13" s="184">
        <f t="shared" si="6"/>
        <v>122</v>
      </c>
      <c r="O13" s="184">
        <f t="shared" si="6"/>
        <v>111</v>
      </c>
      <c r="P13" s="184">
        <f t="shared" si="6"/>
        <v>82</v>
      </c>
      <c r="Q13" s="184">
        <f t="shared" si="6"/>
        <v>30</v>
      </c>
      <c r="R13" s="184">
        <f t="shared" si="6"/>
        <v>1524</v>
      </c>
      <c r="S13" s="184">
        <f t="shared" si="6"/>
        <v>999</v>
      </c>
      <c r="T13" s="184">
        <f t="shared" si="6"/>
        <v>347</v>
      </c>
      <c r="U13" s="184">
        <f t="shared" si="6"/>
        <v>286</v>
      </c>
      <c r="V13" s="184">
        <f t="shared" si="6"/>
        <v>1060</v>
      </c>
      <c r="W13" s="184">
        <f t="shared" si="6"/>
        <v>77</v>
      </c>
      <c r="X13" s="184">
        <f t="shared" si="6"/>
        <v>105</v>
      </c>
      <c r="Y13" s="184">
        <f t="shared" si="6"/>
        <v>160</v>
      </c>
      <c r="Z13" s="184">
        <f t="shared" si="6"/>
        <v>42</v>
      </c>
      <c r="AA13" s="184">
        <f t="shared" si="6"/>
        <v>24</v>
      </c>
      <c r="AB13" s="184">
        <f t="shared" si="6"/>
        <v>178</v>
      </c>
      <c r="AC13" s="184">
        <f t="shared" si="6"/>
        <v>0</v>
      </c>
      <c r="AD13" s="184">
        <f t="shared" si="6"/>
        <v>0</v>
      </c>
      <c r="AE13" s="184">
        <f t="shared" si="6"/>
        <v>0</v>
      </c>
      <c r="AF13" s="184">
        <f>SUBTOTAL(9,AF9:AF12)</f>
        <v>0</v>
      </c>
      <c r="AG13" s="184">
        <f t="shared" ref="AG13:AT13" si="7">SUBTOTAL(9,AG8:AG12)</f>
        <v>45</v>
      </c>
      <c r="AH13" s="184">
        <f t="shared" si="7"/>
        <v>87</v>
      </c>
      <c r="AI13" s="184">
        <f t="shared" si="7"/>
        <v>33</v>
      </c>
      <c r="AJ13" s="184">
        <f t="shared" si="7"/>
        <v>99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1044</v>
      </c>
      <c r="AZ13" s="184">
        <f>SUBTOTAL(9,AZ8:AZ12)</f>
        <v>434</v>
      </c>
      <c r="BA13" s="184">
        <f>SUBTOTAL(9,BA8:BA12)</f>
        <v>319</v>
      </c>
      <c r="BB13" s="184">
        <f>SUBTOTAL(9,BB8:BB12)</f>
        <v>1159</v>
      </c>
      <c r="BC13" s="184">
        <f>SUBTOTAL(9,BC8:BC12)</f>
        <v>107</v>
      </c>
      <c r="BD13" s="205">
        <f>IF(ISNUMBER(BA13/AZ13),BA13/AZ13," - ")</f>
        <v>0.73502304147465436</v>
      </c>
      <c r="BE13" s="206">
        <f>IF(ISNUMBER(BB13/BA13),BB13/BA13, " - ")</f>
        <v>3.6332288401253918</v>
      </c>
      <c r="BF13" s="206">
        <f>IF(ISNUMBER(BC13/BA13),BC13/BA13, " - ")</f>
        <v>0.33542319749216298</v>
      </c>
      <c r="BG13" s="207">
        <f>IF(ISNUMBER((AY13+AZ13)/BA13),(AY13+AZ13)/BA13," - ")</f>
        <v>4.6332288401253923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776</v>
      </c>
      <c r="J16" s="183">
        <v>283</v>
      </c>
      <c r="K16" s="183">
        <v>253</v>
      </c>
      <c r="L16" s="183">
        <v>806</v>
      </c>
      <c r="M16" s="183">
        <v>53</v>
      </c>
      <c r="N16" s="183">
        <v>138</v>
      </c>
      <c r="O16" s="181">
        <v>8</v>
      </c>
      <c r="P16" s="183">
        <v>30</v>
      </c>
      <c r="Q16" s="183">
        <v>8</v>
      </c>
      <c r="R16" s="183">
        <v>111</v>
      </c>
      <c r="S16" s="183">
        <v>1009</v>
      </c>
      <c r="T16" s="183">
        <v>280</v>
      </c>
      <c r="U16" s="183">
        <v>321</v>
      </c>
      <c r="V16" s="183">
        <v>968</v>
      </c>
      <c r="W16" s="183">
        <v>61</v>
      </c>
      <c r="X16" s="189">
        <v>183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1009</v>
      </c>
      <c r="AZ16" s="127">
        <f t="shared" si="9"/>
        <v>280</v>
      </c>
      <c r="BA16" s="127">
        <f t="shared" si="9"/>
        <v>321</v>
      </c>
      <c r="BB16" s="127">
        <f t="shared" si="9"/>
        <v>968</v>
      </c>
      <c r="BC16" s="125">
        <f>IF(ISNUMBER(W16),W16," - ")</f>
        <v>61</v>
      </c>
      <c r="BD16" s="126">
        <f t="shared" ref="BD16" si="11">IF(ISNUMBER(BA16/AZ16),BA16/AZ16," - ")</f>
        <v>1.1464285714285714</v>
      </c>
      <c r="BE16" s="127">
        <f t="shared" ref="BE16" si="12">IF(ISNUMBER(BB16/BA16),BB16/BA16, " - ")</f>
        <v>3.0155763239875388</v>
      </c>
      <c r="BF16" s="127">
        <f t="shared" ref="BF16" si="13">IF(ISNUMBER(BC16/BA16),BC16/BA16, " - ")</f>
        <v>0.19003115264797507</v>
      </c>
      <c r="BG16" s="196">
        <f t="shared" si="10"/>
        <v>4.0155763239875393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55</v>
      </c>
      <c r="K17" s="183">
        <v>51</v>
      </c>
      <c r="L17" s="183">
        <v>98</v>
      </c>
      <c r="M17" s="183">
        <v>9</v>
      </c>
      <c r="N17" s="183">
        <v>8</v>
      </c>
      <c r="O17" s="183">
        <v>0</v>
      </c>
      <c r="P17" s="183">
        <v>0</v>
      </c>
      <c r="Q17" s="183">
        <v>0</v>
      </c>
      <c r="R17" s="183">
        <v>4</v>
      </c>
      <c r="S17" s="183">
        <v>96</v>
      </c>
      <c r="T17" s="183">
        <v>61</v>
      </c>
      <c r="U17" s="183">
        <v>60</v>
      </c>
      <c r="V17" s="183">
        <v>97</v>
      </c>
      <c r="W17" s="183">
        <v>11</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96</v>
      </c>
      <c r="AZ17" s="129">
        <f t="shared" si="14"/>
        <v>61</v>
      </c>
      <c r="BA17" s="129">
        <f t="shared" si="14"/>
        <v>60</v>
      </c>
      <c r="BB17" s="129">
        <f t="shared" si="14"/>
        <v>97</v>
      </c>
      <c r="BC17" s="125">
        <f>IF(ISNUMBER(W17),W17," - ")</f>
        <v>11</v>
      </c>
      <c r="BD17" s="126">
        <f>IF(ISNUMBER(BA17/AZ17),BA17/AZ17," - ")</f>
        <v>0.98360655737704916</v>
      </c>
      <c r="BE17" s="127">
        <f>IF(ISNUMBER(BB17/BA17),BB17/BA17, " - ")</f>
        <v>1.6166666666666667</v>
      </c>
      <c r="BF17" s="127">
        <f>IF(ISNUMBER(BC17/BA17),BC17/BA17, " - ")</f>
        <v>0.18333333333333332</v>
      </c>
      <c r="BG17" s="196">
        <f>IF(ISNUMBER((AY17+AZ17)/BA17),(AY17+AZ17)/BA17," - ")</f>
        <v>2.6166666666666667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870</v>
      </c>
      <c r="J18" s="184">
        <f t="shared" si="15"/>
        <v>338</v>
      </c>
      <c r="K18" s="184">
        <f t="shared" si="15"/>
        <v>304</v>
      </c>
      <c r="L18" s="184">
        <f t="shared" si="15"/>
        <v>904</v>
      </c>
      <c r="M18" s="184">
        <f t="shared" si="15"/>
        <v>62</v>
      </c>
      <c r="N18" s="184">
        <f t="shared" si="15"/>
        <v>146</v>
      </c>
      <c r="O18" s="184">
        <f t="shared" si="15"/>
        <v>8</v>
      </c>
      <c r="P18" s="184">
        <f t="shared" si="15"/>
        <v>30</v>
      </c>
      <c r="Q18" s="184">
        <f t="shared" si="15"/>
        <v>8</v>
      </c>
      <c r="R18" s="184">
        <f t="shared" si="15"/>
        <v>115</v>
      </c>
      <c r="S18" s="184">
        <f t="shared" si="15"/>
        <v>1105</v>
      </c>
      <c r="T18" s="184">
        <f t="shared" si="15"/>
        <v>341</v>
      </c>
      <c r="U18" s="184">
        <f t="shared" si="15"/>
        <v>381</v>
      </c>
      <c r="V18" s="184">
        <f t="shared" si="15"/>
        <v>1065</v>
      </c>
      <c r="W18" s="184">
        <f t="shared" si="15"/>
        <v>72</v>
      </c>
      <c r="X18" s="184">
        <f t="shared" si="15"/>
        <v>208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1105</v>
      </c>
      <c r="AZ18" s="184">
        <f>SUBTOTAL(9,AZ14:AZ17)</f>
        <v>341</v>
      </c>
      <c r="BA18" s="184">
        <f>SUBTOTAL(9,BA14:BA17)</f>
        <v>381</v>
      </c>
      <c r="BB18" s="184">
        <f>SUBTOTAL(9,BB14:BB17)</f>
        <v>1065</v>
      </c>
      <c r="BC18" s="184">
        <f>SUBTOTAL(9,BC14:BC17)</f>
        <v>72</v>
      </c>
      <c r="BD18" s="205">
        <f>IF(ISNUMBER(BA18/AZ18),BA18/AZ18," - ")</f>
        <v>1.1173020527859236</v>
      </c>
      <c r="BE18" s="206">
        <f>IF(ISNUMBER(BB18/BA18),BB18/BA18, " - ")</f>
        <v>2.795275590551181</v>
      </c>
      <c r="BF18" s="206">
        <f>IF(ISNUMBER(BC18/BA18),BC18/BA18, " - ")</f>
        <v>0.1889763779527559</v>
      </c>
      <c r="BG18" s="207">
        <f>IF(ISNUMBER((AY18+AZ18)/BA18),(AY18+AZ18)/BA18," - ")</f>
        <v>3.795275590551181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2016</v>
      </c>
      <c r="J19" s="134">
        <f t="shared" si="18"/>
        <v>734</v>
      </c>
      <c r="K19" s="134">
        <f t="shared" si="18"/>
        <v>561</v>
      </c>
      <c r="L19" s="134">
        <f t="shared" si="18"/>
        <v>2189</v>
      </c>
      <c r="M19" s="134">
        <f t="shared" si="18"/>
        <v>131</v>
      </c>
      <c r="N19" s="134">
        <f t="shared" si="18"/>
        <v>268</v>
      </c>
      <c r="O19" s="134">
        <f t="shared" si="18"/>
        <v>119</v>
      </c>
      <c r="P19" s="134">
        <f t="shared" si="18"/>
        <v>112</v>
      </c>
      <c r="Q19" s="134">
        <f t="shared" si="18"/>
        <v>38</v>
      </c>
      <c r="R19" s="134">
        <f t="shared" si="18"/>
        <v>1639</v>
      </c>
      <c r="S19" s="134">
        <f t="shared" si="18"/>
        <v>2104</v>
      </c>
      <c r="T19" s="134">
        <f t="shared" si="18"/>
        <v>688</v>
      </c>
      <c r="U19" s="134">
        <f t="shared" si="18"/>
        <v>667</v>
      </c>
      <c r="V19" s="134">
        <f t="shared" si="18"/>
        <v>2125</v>
      </c>
      <c r="W19" s="134">
        <f t="shared" si="18"/>
        <v>149</v>
      </c>
      <c r="X19" s="134">
        <f t="shared" si="18"/>
        <v>313</v>
      </c>
      <c r="Y19" s="134">
        <f t="shared" si="18"/>
        <v>160</v>
      </c>
      <c r="Z19" s="134">
        <f t="shared" si="18"/>
        <v>42</v>
      </c>
      <c r="AA19" s="134">
        <f t="shared" si="18"/>
        <v>24</v>
      </c>
      <c r="AB19" s="134">
        <f t="shared" si="18"/>
        <v>178</v>
      </c>
      <c r="AC19" s="134">
        <f t="shared" si="18"/>
        <v>0</v>
      </c>
      <c r="AD19" s="134">
        <f t="shared" si="18"/>
        <v>0</v>
      </c>
      <c r="AE19" s="134">
        <f t="shared" si="18"/>
        <v>0</v>
      </c>
      <c r="AF19" s="134">
        <f t="shared" si="18"/>
        <v>0</v>
      </c>
      <c r="AG19" s="134">
        <f t="shared" si="18"/>
        <v>45</v>
      </c>
      <c r="AH19" s="134">
        <f t="shared" si="18"/>
        <v>87</v>
      </c>
      <c r="AI19" s="134">
        <f t="shared" si="18"/>
        <v>33</v>
      </c>
      <c r="AJ19" s="134">
        <f t="shared" si="18"/>
        <v>99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2149</v>
      </c>
      <c r="AZ19" s="134">
        <f>SUBTOTAL(9,AZ9:AZ18)</f>
        <v>775</v>
      </c>
      <c r="BA19" s="134">
        <f>SUBTOTAL(9,BA9:BA18)</f>
        <v>700</v>
      </c>
      <c r="BB19" s="134">
        <f>SUBTOTAL(9,BB9:BB18)</f>
        <v>2224</v>
      </c>
      <c r="BC19" s="135">
        <f>SUBTOTAL(9,BC9:BC18)</f>
        <v>179</v>
      </c>
      <c r="BD19" s="213">
        <f>IF(ISNUMBER(BA19/AZ19),BA19/AZ19," - ")</f>
        <v>0.90322580645161288</v>
      </c>
      <c r="BE19" s="210">
        <f>IF(ISNUMBER(BB19/BA19),BB19/BA19, " - ")</f>
        <v>3.177142857142857</v>
      </c>
      <c r="BF19" s="210">
        <f>IF(ISNUMBER(BC19/BA19),BC19/BA19, " - ")</f>
        <v>0.25571428571428573</v>
      </c>
      <c r="BG19" s="135">
        <f>IF(ISNUMBER((AY19+AZ19)/BA19),(AY19+AZ19)/BA19," - ")</f>
        <v>4.177142857142857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TEuVCjWMu2bhqaGACM8TCnEyQVb7V0EJ6KpJantcOGxFPox5gsTxEywSUkuD3X8cYbcFOz8k5pHIZHaO/CHA==" saltValue="RKtiSgMGt8OuV3F3i5v4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BaJs7e0wM439IwCT9QtoDVCFrbqOCSOPJ2kwpXsuEAMcLulo8hk63rhD+TyRBB4Uecb+t++3zAvBXT3VaQT8g==" saltValue="kvXMETDSlQi+y3U+I618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GUADIX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0.2857142857142857</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178</v>
      </c>
      <c r="AI12" s="334" t="str">
        <f>IF(ISNUMBER(Datos!CD12),Datos!CD12,"-")</f>
        <v>-</v>
      </c>
      <c r="AJ12" s="334" t="str">
        <f>IF(ISNUMBER(Datos!EN12),Datos!EN12," - ")</f>
        <v xml:space="preserve"> - </v>
      </c>
      <c r="AK12" s="334"/>
      <c r="AL12" s="479"/>
      <c r="AM12" s="335">
        <f>IF(ISNUMBER(Datos!R12),Datos!R12," - ")</f>
        <v>1521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121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0.65330188679245282</v>
      </c>
      <c r="BH12" s="260">
        <f>IF(ISNUMBER(((IF(J_V="SI",Datos!L12/Datos!K12,(Datos!L12+Datos!AB12)/(Datos!K12+Datos!AA12)))*11)/factor_trimestre),((IF(J_V="SI",Datos!L12/Datos!K12,(Datos!L12+Datos!AB12)/(Datos!K12+Datos!AA12)))*11)/factor_trimestre," - ")</f>
        <v>10.346570397111913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3.5398230088495575E-2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30</v>
      </c>
      <c r="AD13" s="899">
        <f t="shared" si="1"/>
        <v>0</v>
      </c>
      <c r="AE13" s="899">
        <f t="shared" si="1"/>
        <v>0</v>
      </c>
      <c r="AF13" s="899">
        <f t="shared" si="1"/>
        <v>30</v>
      </c>
      <c r="AG13" s="899">
        <f t="shared" si="1"/>
        <v>0</v>
      </c>
      <c r="AH13" s="899">
        <f t="shared" si="1"/>
        <v>178</v>
      </c>
      <c r="AI13" s="899">
        <f t="shared" si="1"/>
        <v>0</v>
      </c>
      <c r="AJ13" s="899">
        <f t="shared" si="1"/>
        <v>0</v>
      </c>
      <c r="AK13" s="899">
        <f t="shared" si="1"/>
        <v>0</v>
      </c>
      <c r="AL13" s="899">
        <f t="shared" si="1"/>
        <v>0</v>
      </c>
      <c r="AM13" s="899">
        <f t="shared" si="1"/>
        <v>1524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122</v>
      </c>
      <c r="BE13" s="899">
        <f t="shared" si="1"/>
        <v>0</v>
      </c>
      <c r="BF13" s="899">
        <f t="shared" si="1"/>
        <v>0</v>
      </c>
      <c r="BG13" s="899">
        <f>IF(ISNUMBER(Datos!K13/Datos!J13),Datos!K13/Datos!J13," - ")</f>
        <v>0.64898989898989901</v>
      </c>
      <c r="BH13" s="903">
        <f>IF(ISNUMBER(((Datos!L13/Datos!K13)*11)/factor_trimestre),((Datos!L13/Datos!K13)*11)/factor_trimestre," - ")</f>
        <v>10</v>
      </c>
      <c r="BI13" s="899">
        <f>IF(ISNUMBER('Resol  Asuntos'!D13/NºAsuntos!G13),'Resol  Asuntos'!D13/NºAsuntos!G13," - ")</f>
        <v>0.24555160142348753</v>
      </c>
      <c r="BJ13" s="899" t="str">
        <f>IF(ISNUMBER(Datos!CI13/Datos!CJ13),Datos!CI13/Datos!CJ13," - ")</f>
        <v xml:space="preserve"> - </v>
      </c>
      <c r="BK13" s="899">
        <f>SUBTOTAL(9,BK8:BK12)</f>
        <v>0</v>
      </c>
      <c r="BL13" s="899">
        <f>IF(ISNUMBER((I13-AB13+L13)/(F13)),(I13-AB13+L13)/(F13)," - ")</f>
        <v>-0.2</v>
      </c>
      <c r="BM13" s="904">
        <f>SUBTOTAL(9,BM9:BM12)</f>
        <v>3.5398230088495575E-2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776</v>
      </c>
      <c r="G16" s="598">
        <f>IF(ISNUMBER(IF(D_I="SI",Datos!I16,Datos!I16+Datos!AC16)),IF(D_I="SI",Datos!I16,Datos!I16+Datos!AC16)," - ")</f>
        <v>776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253</v>
      </c>
      <c r="AC16" s="226">
        <f>IF(ISNUMBER(Datos!Q16),Datos!Q16," - ")</f>
        <v>8</v>
      </c>
      <c r="AD16" s="334"/>
      <c r="AE16" s="484"/>
      <c r="AF16" s="596">
        <f>IF(ISNUMBER(IF(D_I="SI",Datos!L16,Datos!L16+Datos!AF16)),IF(D_I="SI",Datos!L16,Datos!L16+Datos!AF16)," - ")</f>
        <v>806</v>
      </c>
      <c r="AG16" s="334"/>
      <c r="AH16" s="334"/>
      <c r="AI16" s="334"/>
      <c r="AJ16" s="334"/>
      <c r="AK16" s="334"/>
      <c r="AL16" s="479"/>
      <c r="AM16" s="335">
        <f>IF(ISNUMBER(Datos!R16),Datos!R16," - ")</f>
        <v>111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138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0.89399293286219084</v>
      </c>
      <c r="BH16" s="260">
        <f>IF(ISNUMBER(((IF(D_I="SI",Datos!L16/Datos!K16,(Datos!L16+Datos!AF16)/(Datos!K16+Datos!AE16)))*11)/factor_trimestre),((IF(D_I="SI",Datos!L16/Datos!K16,(Datos!L16+Datos!AF16)/(Datos!K16+Datos!AE16)))*11)/factor_trimestre," - ")</f>
        <v>6.3715415019762842</v>
      </c>
      <c r="BI16" s="243">
        <f>IF(ISNUMBER('Resol  Asuntos'!D16/NºAsuntos!G16),'Resol  Asuntos'!D16/NºAsuntos!G16," - ")</f>
        <v>0.20948616600790515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98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0.92727272727272725</v>
      </c>
      <c r="BH17" s="260">
        <f>IF(ISNUMBER(((IF(D_I="SI",Datos!L17/Datos!K17,(Datos!L17+Datos!AF17)/(Datos!K17+Datos!AE17)))*11)/factor_trimestre),((IF(D_I="SI",Datos!L17/Datos!K17,(Datos!L17+Datos!AF17)/(Datos!K17+Datos!AE17)))*11)/factor_trimestre," - ")</f>
        <v>3.8431372549019609</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776</v>
      </c>
      <c r="G18" s="898">
        <f>SUBTOTAL(9,G15:G17)</f>
        <v>870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304</v>
      </c>
      <c r="AC18" s="899">
        <f t="shared" si="4"/>
        <v>8</v>
      </c>
      <c r="AD18" s="899">
        <f t="shared" si="4"/>
        <v>0</v>
      </c>
      <c r="AE18" s="899">
        <f t="shared" si="4"/>
        <v>0</v>
      </c>
      <c r="AF18" s="899">
        <f t="shared" si="4"/>
        <v>904</v>
      </c>
      <c r="AG18" s="899">
        <f t="shared" si="4"/>
        <v>0</v>
      </c>
      <c r="AH18" s="899">
        <f t="shared" si="4"/>
        <v>0</v>
      </c>
      <c r="AI18" s="899">
        <f t="shared" si="4"/>
        <v>0</v>
      </c>
      <c r="AJ18" s="899">
        <f t="shared" si="4"/>
        <v>0</v>
      </c>
      <c r="AK18" s="899">
        <f t="shared" si="4"/>
        <v>0</v>
      </c>
      <c r="AL18" s="899">
        <f t="shared" si="4"/>
        <v>0</v>
      </c>
      <c r="AM18" s="899">
        <f t="shared" si="4"/>
        <v>115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146</v>
      </c>
      <c r="BE18" s="899">
        <f t="shared" si="4"/>
        <v>0</v>
      </c>
      <c r="BF18" s="899">
        <f t="shared" si="4"/>
        <v>0</v>
      </c>
      <c r="BG18" s="899">
        <f>IF(ISNUMBER(Datos!K18/Datos!J18),Datos!K18/Datos!J18," - ")</f>
        <v>0.89940828402366868</v>
      </c>
      <c r="BH18" s="903">
        <f>IF(ISNUMBER(((Datos!L18/Datos!K18)*11)/factor_trimestre),((Datos!L18/Datos!K18)*11)/factor_trimestre," - ")</f>
        <v>5.947368421052631</v>
      </c>
      <c r="BI18" s="899">
        <f>SUBTOTAL(9,BI15:BI17)</f>
        <v>0.38595675424319931</v>
      </c>
      <c r="BJ18" s="899">
        <f>SUBTOTAL(9,BJ15:BJ17)</f>
        <v>0</v>
      </c>
      <c r="BK18" s="899">
        <f>SUBTOTAL(9,BK15:BK17)</f>
        <v>0</v>
      </c>
      <c r="BL18" s="899">
        <f>IF(ISNUMBER((I18-AB18+L18)/(F18)),(I18-AB18+L18)/(F18)," - ")</f>
        <v>-0.39175257731958762</v>
      </c>
      <c r="BM18" s="905">
        <f>IF(ISNUMBER((Datos!P18-Datos!Q18)/(Datos!R18-Datos!P18+Datos!Q18)),(Datos!P18-Datos!Q18)/(Datos!R18-Datos!P18+Datos!Q18)," - ")</f>
        <v>0.23655913978494625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796</v>
      </c>
      <c r="G19" s="820">
        <f t="shared" si="6"/>
        <v>890</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308</v>
      </c>
      <c r="AC19" s="821">
        <f t="shared" si="7"/>
        <v>38</v>
      </c>
      <c r="AD19" s="821">
        <f t="shared" si="7"/>
        <v>0</v>
      </c>
      <c r="AE19" s="821">
        <f t="shared" si="7"/>
        <v>0</v>
      </c>
      <c r="AF19" s="828">
        <f t="shared" si="7"/>
        <v>934</v>
      </c>
      <c r="AG19" s="828">
        <f t="shared" si="7"/>
        <v>0</v>
      </c>
      <c r="AH19" s="828">
        <f t="shared" si="7"/>
        <v>178</v>
      </c>
      <c r="AI19" s="828">
        <f t="shared" si="7"/>
        <v>0</v>
      </c>
      <c r="AJ19" s="821">
        <f t="shared" si="7"/>
        <v>0</v>
      </c>
      <c r="AK19" s="828">
        <f t="shared" si="7"/>
        <v>0</v>
      </c>
      <c r="AL19" s="828">
        <f t="shared" si="7"/>
        <v>0</v>
      </c>
      <c r="AM19" s="828">
        <f t="shared" si="7"/>
        <v>1639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v>
      </c>
      <c r="BD19" s="820">
        <f t="shared" si="7"/>
        <v>268</v>
      </c>
      <c r="BE19" s="820">
        <f t="shared" si="7"/>
        <v>0</v>
      </c>
      <c r="BF19" s="830">
        <f t="shared" si="7"/>
        <v>0</v>
      </c>
      <c r="BG19" s="915">
        <f>IF(ISNUMBER(Datos!K19/Datos!J19),Datos!K19/Datos!J19," - ")</f>
        <v>0.76430517711171664</v>
      </c>
      <c r="BH19" s="915">
        <f>IF(ISNUMBER(((Datos!L19/Datos!K19)*11)/factor_trimestre),((Datos!L19/Datos!K19)*11)/factor_trimestre," - ")</f>
        <v>7.8039215686274508</v>
      </c>
      <c r="BI19" s="813">
        <f>IF(ISNUMBER(Datos!J19/Datos!I19),Datos!J19/Datos!I19," - ")</f>
        <v>0.36408730158730157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-0.38693467336683418</v>
      </c>
      <c r="BM19" s="889">
        <f>IF(ISNUMBER((Datos!P19-Datos!Q19+R19)/(Datos!R19-Datos!P19+Datos!Q19-R19)),(Datos!P19-Datos!Q19+R19)/(Datos!R19-Datos!P19+Datos!Q19-R19)," - ")</f>
        <v>4.7284345047923323E-2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436.47680350735709</v>
      </c>
      <c r="G21" s="552">
        <f>IF(ISNUMBER(STDEV(G8:G18)),STDEV(G8:G18),"-")</f>
        <v>428.67003627498855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144.19327307471733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30.157365048469781</v>
      </c>
      <c r="BD21" s="551"/>
      <c r="BE21" s="551">
        <f>IF(ISNUMBER(STDEV(BE8:BE18)),STDEV(BE8:BE18),"-")</f>
        <v>0</v>
      </c>
      <c r="BF21" s="556">
        <f>IF(ISNUMBER(STDEV(BF8:BF18)),STDEV(BF8:BF18),"-")</f>
        <v>0</v>
      </c>
      <c r="BG21" s="775">
        <f>IF(ISNUMBER(STDEV(BG8:BG18)),STDEV(BG8:BG18),"-")</f>
        <v>0.24637234175505496</v>
      </c>
      <c r="BH21" s="776">
        <f>IF(ISNUMBER(STDEV(BH8:BH18)),STDEV(BH8:BH18),"-")</f>
        <v>4.0149555690579479</v>
      </c>
      <c r="BI21" s="249">
        <f>IF(ISNUMBER(STDEV(BI8:BI18)),STDEV(BI8:BI18),"-")</f>
        <v>9.2151532628605343E-2</v>
      </c>
      <c r="BJ21" s="230" t="str">
        <f>IF(ISNUMBER(BL21/BM21),BL21/BM21," - ")</f>
        <v xml:space="preserve"> - </v>
      </c>
      <c r="BK21" s="575"/>
      <c r="BL21" s="559">
        <f>IF(ISNUMBER(STDEV(BL8:BL18)),STDEV(BL8:BL18),"-")</f>
        <v>0.13558954773267815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yMTFL2JDhIy9JSde+VHP6aAVrWHzhdBEDexzgTpfpldAFTCqQApDkpdLwbMPewz0GjOURVkNJugc2vuK6KVag==" saltValue="+FD63z1qwKyNJJPLyMPq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GUADIX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1521</v>
      </c>
      <c r="AF12" s="229" t="str">
        <f>IF(ISNUMBER(Datos!BV12),Datos!BV12," - ")</f>
        <v xml:space="preserve"> - </v>
      </c>
      <c r="AG12" s="225" t="str">
        <f>IF(ISNUMBER(Datos!DV12),Datos!DV12," - ")</f>
        <v xml:space="preserve"> - </v>
      </c>
      <c r="AH12" s="298"/>
      <c r="AI12" s="227"/>
      <c r="AJ12" s="225">
        <f>IF(ISNUMBER(Datos!M12),Datos!M12," - ")</f>
        <v>67</v>
      </c>
      <c r="AK12" s="229">
        <f>IF(ISNUMBER(Datos!N12),Datos!N12," - ")</f>
        <v>121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10.346570397111913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3.5398230088495575E-2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30</v>
      </c>
      <c r="AA13" s="900">
        <f t="shared" si="2"/>
        <v>30</v>
      </c>
      <c r="AB13" s="900">
        <f t="shared" si="2"/>
        <v>0</v>
      </c>
      <c r="AC13" s="900">
        <f t="shared" si="2"/>
        <v>0</v>
      </c>
      <c r="AD13" s="900">
        <f t="shared" si="2"/>
        <v>0</v>
      </c>
      <c r="AE13" s="900">
        <f t="shared" si="2"/>
        <v>1524</v>
      </c>
      <c r="AF13" s="908">
        <f t="shared" si="2"/>
        <v>0</v>
      </c>
      <c r="AG13" s="908">
        <f t="shared" si="2"/>
        <v>0</v>
      </c>
      <c r="AH13" s="908">
        <f t="shared" si="2"/>
        <v>0</v>
      </c>
      <c r="AI13" s="908">
        <f t="shared" si="2"/>
        <v>0</v>
      </c>
      <c r="AJ13" s="908">
        <f t="shared" si="2"/>
        <v>69</v>
      </c>
      <c r="AK13" s="908">
        <f t="shared" si="2"/>
        <v>122</v>
      </c>
      <c r="AL13" s="908">
        <f t="shared" si="2"/>
        <v>0</v>
      </c>
      <c r="AM13" s="908">
        <f t="shared" si="2"/>
        <v>0</v>
      </c>
      <c r="AN13" s="908">
        <f t="shared" si="2"/>
        <v>0</v>
      </c>
      <c r="AO13" s="904">
        <f>IF(ISNUMBER(((NºAsuntos!I13/NºAsuntos!G13)*11)/factor_trimestre),((NºAsuntos!I13/NºAsuntos!G13)*11)/factor_trimestre," - ")</f>
        <v>10.412811387900355</v>
      </c>
      <c r="AP13" s="910" t="str">
        <f>IF(ISNUMBER(Datos!CI13/Datos!CJ13),Datos!CI13/Datos!CJ13," - ")</f>
        <v xml:space="preserve"> - </v>
      </c>
      <c r="AQ13" s="928">
        <f t="shared" ref="AQ13:AV13" si="3">SUBTOTAL(9,AQ9:AQ12)</f>
        <v>0</v>
      </c>
      <c r="AR13" s="928">
        <f t="shared" si="3"/>
        <v>3.5398230088495575E-2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776</v>
      </c>
      <c r="G16" s="225">
        <f>IF(ISNUMBER(IF(D_I="SI",Datos!I16,Datos!I16+Datos!AC16)),IF(D_I="SI",Datos!I16,Datos!I16+Datos!AC16)," - ")</f>
        <v>776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253</v>
      </c>
      <c r="Z16" s="619">
        <f>IF(ISNUMBER(Datos!Q16),Datos!Q16," - ")</f>
        <v>8</v>
      </c>
      <c r="AA16" s="332">
        <f>IF(ISNUMBER(IF(D_I="SI",Datos!L16,Datos!L16+Datos!AF16)),IF(D_I="SI",Datos!L16,Datos!L16+Datos!AF16)," - ")</f>
        <v>806</v>
      </c>
      <c r="AB16" s="334"/>
      <c r="AC16" s="334"/>
      <c r="AD16" s="484"/>
      <c r="AE16" s="484">
        <f>IF(ISNUMBER(Datos!R16),Datos!R16," - ")</f>
        <v>111</v>
      </c>
      <c r="AF16" s="229" t="str">
        <f>IF(ISNUMBER(Datos!BV16),Datos!BV16," - ")</f>
        <v xml:space="preserve"> - </v>
      </c>
      <c r="AG16" s="225"/>
      <c r="AH16" s="298"/>
      <c r="AI16" s="227"/>
      <c r="AJ16" s="225">
        <f>IF(ISNUMBER(Datos!M16),Datos!M16," - ")</f>
        <v>53</v>
      </c>
      <c r="AK16" s="229">
        <f>IF(ISNUMBER(Datos!N16),Datos!N16," - ")</f>
        <v>138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6.3715415019762842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98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9</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3.8431372549019609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776</v>
      </c>
      <c r="G18" s="898">
        <f>SUBTOTAL(9,G15:G17)</f>
        <v>870</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304</v>
      </c>
      <c r="Z18" s="932">
        <f t="shared" si="5"/>
        <v>8</v>
      </c>
      <c r="AA18" s="932">
        <f t="shared" si="5"/>
        <v>904</v>
      </c>
      <c r="AB18" s="932">
        <f t="shared" si="5"/>
        <v>0</v>
      </c>
      <c r="AC18" s="932">
        <f t="shared" si="5"/>
        <v>0</v>
      </c>
      <c r="AD18" s="932">
        <f t="shared" si="5"/>
        <v>0</v>
      </c>
      <c r="AE18" s="932">
        <f t="shared" si="5"/>
        <v>115</v>
      </c>
      <c r="AF18" s="932">
        <f t="shared" si="5"/>
        <v>0</v>
      </c>
      <c r="AG18" s="932">
        <f t="shared" si="5"/>
        <v>0</v>
      </c>
      <c r="AH18" s="932">
        <f t="shared" si="5"/>
        <v>0</v>
      </c>
      <c r="AI18" s="932">
        <f t="shared" si="5"/>
        <v>0</v>
      </c>
      <c r="AJ18" s="932">
        <f t="shared" si="5"/>
        <v>62</v>
      </c>
      <c r="AK18" s="932">
        <f t="shared" si="5"/>
        <v>146</v>
      </c>
      <c r="AL18" s="932">
        <f t="shared" si="5"/>
        <v>0</v>
      </c>
      <c r="AM18" s="932">
        <f t="shared" si="5"/>
        <v>0</v>
      </c>
      <c r="AN18" s="932">
        <f t="shared" si="5"/>
        <v>0</v>
      </c>
      <c r="AO18" s="934">
        <f>IF(ISNUMBER(((NºAsuntos!I18/NºAsuntos!G18)*11)/factor_trimestre),((NºAsuntos!I18/NºAsuntos!G18)*11)/factor_trimestre," - ")</f>
        <v>5.947368421052631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796</v>
      </c>
      <c r="G19" s="820">
        <f t="shared" si="7"/>
        <v>890</v>
      </c>
      <c r="H19" s="821">
        <f t="shared" si="7"/>
        <v>0</v>
      </c>
      <c r="I19" s="820">
        <f t="shared" si="7"/>
        <v>0</v>
      </c>
      <c r="J19" s="822">
        <f t="shared" si="7"/>
        <v>0</v>
      </c>
      <c r="K19" s="820">
        <f t="shared" si="7"/>
        <v>0</v>
      </c>
      <c r="L19" s="823">
        <f t="shared" si="7"/>
        <v>0</v>
      </c>
      <c r="M19" s="820">
        <f t="shared" si="7"/>
        <v>0</v>
      </c>
      <c r="N19" s="821">
        <f t="shared" si="7"/>
        <v>112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308</v>
      </c>
      <c r="Z19" s="827">
        <f t="shared" si="8"/>
        <v>38</v>
      </c>
      <c r="AA19" s="828">
        <f t="shared" si="8"/>
        <v>934</v>
      </c>
      <c r="AB19" s="828">
        <f t="shared" si="8"/>
        <v>0</v>
      </c>
      <c r="AC19" s="828">
        <f t="shared" si="8"/>
        <v>0</v>
      </c>
      <c r="AD19" s="829">
        <f t="shared" si="8"/>
        <v>0</v>
      </c>
      <c r="AE19" s="829">
        <f t="shared" si="8"/>
        <v>1639</v>
      </c>
      <c r="AF19" s="830">
        <f t="shared" si="8"/>
        <v>0</v>
      </c>
      <c r="AG19" s="831">
        <f t="shared" si="8"/>
        <v>0</v>
      </c>
      <c r="AH19" s="832">
        <f t="shared" si="8"/>
        <v>0</v>
      </c>
      <c r="AI19" s="830">
        <f t="shared" si="8"/>
        <v>0</v>
      </c>
      <c r="AJ19" s="820">
        <f t="shared" si="8"/>
        <v>131</v>
      </c>
      <c r="AK19" s="820">
        <f t="shared" si="8"/>
        <v>268</v>
      </c>
      <c r="AL19" s="820">
        <f t="shared" si="8"/>
        <v>0</v>
      </c>
      <c r="AM19" s="833">
        <f t="shared" si="8"/>
        <v>0</v>
      </c>
      <c r="AN19" s="823">
        <f>IF(ISNUMBER(Datos!K19/Datos!J19),Datos!K19/Datos!J19," - ")</f>
        <v>0.76430517711171664</v>
      </c>
      <c r="AO19" s="823">
        <f>IF(ISNUMBER(FIND("06",Criterios!A8,1)),(IF(ISNUMBER(((Datos!R19/Datos!Q19)*11)/factor_trimestre),((Datos!R19/Datos!Q19)*11)/factor_trimestre," - ")),(IF(ISNUMBER(((Datos!L19/Datos!K19)*11)/factor_trimestre),((Datos!L19/Datos!K19)*11)/factor_trimestre," - ")))</f>
        <v>7.8039215686274508</v>
      </c>
      <c r="AP19" s="834" t="str">
        <f>IF(ISNUMBER(Datos!CI19/Datos!CJ19),Datos!CI19/Datos!CJ19," - ")</f>
        <v xml:space="preserve"> - </v>
      </c>
      <c r="AQ19" s="834">
        <f>IF(OR(ISNUMBER(FIND("01",Criterios!A8,1)),ISNUMBER(FIND("02",Criterios!A8,1)),ISNUMBER(FIND("03",Criterios!A8,1)),ISNUMBER(FIND("04",Criterios!A8,1))),(J19-Y19+K19)/(F19-K19),(I19-Y19+K19)/(F19-K19))</f>
        <v>-0.38693467336683418</v>
      </c>
      <c r="AR19" s="834">
        <f>IF(ISNUMBER((Datos!P19-Datos!Q19+O19)/(Datos!R19-Datos!P19+Datos!Q19-O19)),(Datos!P19-Datos!Q19+O19)/(Datos!R19-Datos!P19+Datos!Q19-O19)," - ")</f>
        <v>4.7284345047923323E-2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436.47680350735709</v>
      </c>
      <c r="G21" s="552">
        <f>IF(ISNUMBER(STDEV(G8:G18)),STDEV(G8:G18),"-")</f>
        <v>428.67003627498855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30.157365048469781</v>
      </c>
      <c r="AK21" s="252"/>
      <c r="AL21" s="252">
        <f>IF(ISNUMBER(STDEV(AL8:AL18)),STDEV(AL8:AL18),"-")</f>
        <v>0</v>
      </c>
      <c r="AM21" s="254">
        <f>IF(ISNUMBER(STDEV(AM8:AM18)),STDEV(AM8:AM18),"-")</f>
        <v>0</v>
      </c>
      <c r="AN21" s="539">
        <f>IF(ISNUMBER(STDEV(AN8:AN18)),STDEV(AN8:AN18),"-")</f>
        <v>0</v>
      </c>
      <c r="AO21" s="540">
        <f>IF(ISNUMBER(STDEV(AO8:AO18)),STDEV(AO8:AO18),"-")</f>
        <v>4.0474633685114547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haLOevO19WZUstgWtYVfN4VmxQjxqrXwQ6fmprzb4KiSaBZ0VZ6fo8iFAKeDMzK+SJHSBGXGyQTk1Wost2DTWw==" saltValue="0HkagpZl6E0dv4j7imB+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lfpRVFqBNVlfGROYKtB9VR/V0+M+6ysiCAQ+GB/zKGxKja9IBejfjAoOosaLlQmfRwYWecREJANjzfGqbH0XQ==" saltValue="1v1CU5laiRTYH3Ycjm6G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ro3HTRkNDzh3V02Jud5Jvh/6tRGzKypdVYc8jjwno1ETkC/Fy7p6VGXGsrxS8McIH36PZKSBM/Njkyxe5wjBw==" saltValue="l85Ukf6fozIqaSnmZb8d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GUADIX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0.24555160142348753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0.17363120249776434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T4mxpt1WhzHX+iwQ/8zh0wUTa3AYG+GCgiOg/Z71zjsB3EoSeAU8IrLD1fEcq2ZwG6qA1ueZWMwr4T0j/ZR0w==" saltValue="OFJmYPDCpHZqkVWu6l/Q9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UZMw8F+LEF3TWfzR2Ilc5K4OnjEsCnhVS0121nagsed+B98s/uCvyxVXJzYYddIodzAtDjijadsu3j2g5aF3Q==" saltValue="s3fPZHP0NsUn/0f3nVxj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GUADIX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121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10.346570397111913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3.5398230088495575E-2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30</v>
      </c>
      <c r="AE13" s="939">
        <f t="shared" si="1"/>
        <v>0</v>
      </c>
      <c r="AF13" s="939">
        <f t="shared" si="1"/>
        <v>30</v>
      </c>
      <c r="AG13" s="939">
        <f t="shared" si="1"/>
        <v>0</v>
      </c>
      <c r="AH13" s="939">
        <f t="shared" si="1"/>
        <v>1521</v>
      </c>
      <c r="AI13" s="939">
        <f t="shared" si="1"/>
        <v>0</v>
      </c>
      <c r="AJ13" s="939">
        <f t="shared" si="1"/>
        <v>0</v>
      </c>
      <c r="AK13" s="939">
        <f t="shared" si="1"/>
        <v>0</v>
      </c>
      <c r="AL13" s="939">
        <f t="shared" si="1"/>
        <v>69</v>
      </c>
      <c r="AM13" s="939">
        <f t="shared" si="1"/>
        <v>122</v>
      </c>
      <c r="AN13" s="939">
        <f t="shared" si="1"/>
        <v>0</v>
      </c>
      <c r="AO13" s="939">
        <f t="shared" si="1"/>
        <v>0</v>
      </c>
      <c r="AP13" s="944">
        <f>IF(ISNUMBER(((Datos!L13/Datos!K13)*11)/factor_trimestre),((Datos!L13/Datos!K13)*11)/factor_trimestre," - ")</f>
        <v>10</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3.5398230088495575E-2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5.947368421052631</v>
      </c>
      <c r="AQ18" s="944">
        <f>IF(ISNUMBER(((Datos!M18/Datos!L18)*11)/factor_trimestre),((Datos!M18/Datos!L18)*11)/factor_trimestre," - ")</f>
        <v>0.13716814159292035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0.23655913978494625</v>
      </c>
      <c r="AW18" s="946">
        <f>IF(ISNUMBER((Datos!Q18-Datos!R18)/(Datos!S18-Datos!Q18+Datos!R18)),(Datos!Q18-Datos!R18)/(Datos!S18-Datos!Q18+Datos!R18)," - ")</f>
        <v>-8.8283828382838284E-2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30</v>
      </c>
      <c r="AE19" s="957">
        <f t="shared" si="5"/>
        <v>0</v>
      </c>
      <c r="AF19" s="958">
        <f t="shared" si="5"/>
        <v>30</v>
      </c>
      <c r="AG19" s="958">
        <f t="shared" si="5"/>
        <v>0</v>
      </c>
      <c r="AH19" s="958">
        <f t="shared" si="5"/>
        <v>1521</v>
      </c>
      <c r="AI19" s="958">
        <f t="shared" si="5"/>
        <v>0</v>
      </c>
      <c r="AJ19" s="959">
        <f t="shared" si="5"/>
        <v>0</v>
      </c>
      <c r="AK19" s="959">
        <f t="shared" si="5"/>
        <v>0</v>
      </c>
      <c r="AL19" s="951">
        <f t="shared" si="5"/>
        <v>69</v>
      </c>
      <c r="AM19" s="951">
        <f t="shared" si="5"/>
        <v>122</v>
      </c>
      <c r="AN19" s="951">
        <f t="shared" si="5"/>
        <v>0</v>
      </c>
      <c r="AO19" s="951">
        <f t="shared" si="5"/>
        <v>0</v>
      </c>
      <c r="AP19" s="951">
        <f>IF(ISNUMBER(((Datos!L19/Datos!K19)*11)/factor_trimestre),((Datos!L19/Datos!K19)*11)/factor_trimestre," - ")</f>
        <v>7.8039215686274508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4.7284345047923323E-2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38.699698534570871</v>
      </c>
      <c r="AM21" s="736"/>
      <c r="AN21" s="736">
        <f>IF(ISNUMBER(STDEV(AN8:AN18)),STDEV(AN8:AN18),"-")</f>
        <v>0</v>
      </c>
      <c r="AO21" s="742">
        <f>IF(ISNUMBER(STDEV(AO8:AO18)),STDEV(AO8:AO18),"-")</f>
        <v>0</v>
      </c>
      <c r="AP21" s="779">
        <f>IF(ISNUMBER(STDEV(AP8:AP18)),STDEV(AP8:AP18),"-")</f>
        <v>3.7024930492191146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EJeuybKUIJLI/Z+XHRaAGh7viSfSi8Z9r+g0cuBtXlM8jnfOAsBPYbCHRgO08AwWaUgxFXko4/EennxVFjhow==" saltValue="qg8coe+/jdbVLBnTKFDH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